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20730" windowHeight="11760"/>
  </bookViews>
  <sheets>
    <sheet name="КПЭ 2026 свод (20.01.)" sheetId="2" r:id="rId1"/>
  </sheets>
  <definedNames>
    <definedName name="_xlnm.Print_Area" localSheetId="0">'КПЭ 2026 свод (20.01.)'!$A$1:$P$47</definedName>
  </definedNames>
  <calcPr calcId="144525"/>
</workbook>
</file>

<file path=xl/calcChain.xml><?xml version="1.0" encoding="utf-8"?>
<calcChain xmlns="http://schemas.openxmlformats.org/spreadsheetml/2006/main">
  <c r="J17" i="2" l="1"/>
  <c r="J27" i="2"/>
  <c r="J28" i="2"/>
  <c r="I43" i="2" l="1"/>
  <c r="K21" i="2" l="1"/>
  <c r="P34" i="2"/>
  <c r="N34" i="2"/>
  <c r="L34" i="2"/>
  <c r="J34" i="2"/>
  <c r="I34" i="2" s="1"/>
  <c r="H34" i="2"/>
  <c r="J16" i="2"/>
  <c r="I44" i="2"/>
  <c r="I42" i="2"/>
  <c r="I41" i="2"/>
  <c r="I40" i="2"/>
  <c r="I37" i="2"/>
  <c r="I35" i="2"/>
  <c r="I33" i="2"/>
  <c r="I30" i="2"/>
  <c r="I24" i="2"/>
  <c r="I23" i="2"/>
  <c r="I20" i="2"/>
  <c r="I18" i="2"/>
  <c r="I15" i="2"/>
  <c r="I12" i="2"/>
  <c r="I10" i="2"/>
  <c r="I45" i="2" l="1"/>
  <c r="I13" i="2"/>
  <c r="I38" i="2"/>
  <c r="P27" i="2" l="1"/>
  <c r="N27" i="2"/>
  <c r="L27" i="2"/>
  <c r="H27" i="2"/>
  <c r="J26" i="2" l="1"/>
  <c r="I26" i="2"/>
  <c r="I31" i="2" s="1"/>
  <c r="F41" i="2"/>
  <c r="F9" i="2"/>
  <c r="F43" i="2"/>
  <c r="O45" i="2"/>
  <c r="M45" i="2"/>
  <c r="K45" i="2"/>
  <c r="G45" i="2"/>
  <c r="E45" i="2"/>
  <c r="F34" i="2"/>
  <c r="O38" i="2"/>
  <c r="M38" i="2"/>
  <c r="K38" i="2"/>
  <c r="G38" i="2"/>
  <c r="E38" i="2"/>
  <c r="F36" i="2"/>
  <c r="F33" i="2"/>
  <c r="D29" i="2"/>
  <c r="F23" i="2"/>
  <c r="E21" i="2"/>
  <c r="G21" i="2"/>
  <c r="M21" i="2"/>
  <c r="O21" i="2"/>
  <c r="F19" i="2"/>
  <c r="D17" i="2"/>
  <c r="F15" i="2"/>
  <c r="P16" i="2"/>
  <c r="P17" i="2" s="1"/>
  <c r="N16" i="2"/>
  <c r="N17" i="2" s="1"/>
  <c r="L16" i="2"/>
  <c r="L17" i="2" s="1"/>
  <c r="H16" i="2"/>
  <c r="H17" i="2" l="1"/>
  <c r="I17" i="2" s="1"/>
  <c r="I16" i="2"/>
  <c r="F35" i="2"/>
  <c r="P28" i="2"/>
  <c r="N28" i="2"/>
  <c r="L28" i="2"/>
  <c r="H28" i="2"/>
  <c r="Y28" i="2"/>
  <c r="I21" i="2" l="1"/>
  <c r="O26" i="2"/>
  <c r="O31" i="2" s="1"/>
  <c r="M26" i="2"/>
  <c r="M31" i="2" s="1"/>
  <c r="K26" i="2"/>
  <c r="K31" i="2" s="1"/>
  <c r="G26" i="2"/>
  <c r="G31" i="2" s="1"/>
  <c r="O13" i="2" l="1"/>
  <c r="M13" i="2"/>
  <c r="K13" i="2"/>
  <c r="G13" i="2"/>
  <c r="E13" i="2"/>
  <c r="F8" i="2" l="1"/>
  <c r="F16" i="2" s="1"/>
  <c r="F17" i="2" s="1"/>
  <c r="D28" i="2" l="1"/>
  <c r="D27" i="2"/>
  <c r="F25" i="2" l="1"/>
  <c r="F42" i="2" l="1"/>
  <c r="F40" i="2"/>
  <c r="F28" i="2"/>
  <c r="F27" i="2"/>
  <c r="D26" i="2"/>
  <c r="P26" i="2"/>
  <c r="N26" i="2"/>
  <c r="L26" i="2"/>
  <c r="H26" i="2"/>
  <c r="E26" i="2"/>
  <c r="E31" i="2" s="1"/>
  <c r="F11" i="2"/>
  <c r="F10" i="2"/>
  <c r="F26" i="2" l="1"/>
  <c r="R31" i="2"/>
  <c r="R37" i="2" l="1"/>
</calcChain>
</file>

<file path=xl/sharedStrings.xml><?xml version="1.0" encoding="utf-8"?>
<sst xmlns="http://schemas.openxmlformats.org/spreadsheetml/2006/main" count="118" uniqueCount="64">
  <si>
    <t>Т/р</t>
  </si>
  <si>
    <t>Асосий мезонлар</t>
  </si>
  <si>
    <t>шу жумладан:</t>
  </si>
  <si>
    <t>I чорак</t>
  </si>
  <si>
    <t>II чорак</t>
  </si>
  <si>
    <t>III чорак</t>
  </si>
  <si>
    <t>IV чорак</t>
  </si>
  <si>
    <t>млрд.сўм</t>
  </si>
  <si>
    <t>Кўмир қазиб олинишини таъминлаш.</t>
  </si>
  <si>
    <t>та</t>
  </si>
  <si>
    <t xml:space="preserve">Кон устини очиш ишларини бажариш. </t>
  </si>
  <si>
    <t xml:space="preserve">Янги иш ўринларини яратиш. </t>
  </si>
  <si>
    <t xml:space="preserve">"Ijro.gov.uz" ижро интизоми идоралараро ягона электрон тизими орқали топшириқ ва вазифалар ижросининг таъминланиши. </t>
  </si>
  <si>
    <t>фоиз</t>
  </si>
  <si>
    <t>млрд сўм</t>
  </si>
  <si>
    <t xml:space="preserve">Импорт ҳажмини қисқартириш, шундан: </t>
  </si>
  <si>
    <t>млн долл.</t>
  </si>
  <si>
    <t xml:space="preserve">маҳаллийлаштириш ҳисобига </t>
  </si>
  <si>
    <t>тармоқлараро саноат кооперацияси ҳисобига</t>
  </si>
  <si>
    <t>нафар</t>
  </si>
  <si>
    <t>Таннарх ва ишлаб чиқариш харажатларини қисқартириш.</t>
  </si>
  <si>
    <t xml:space="preserve">Кадрлар малакасини ошириш. </t>
  </si>
  <si>
    <t>Ўлчов бирлиги
(кўрсаткич)</t>
  </si>
  <si>
    <t>минг тонна</t>
  </si>
  <si>
    <t>1.</t>
  </si>
  <si>
    <t>2.</t>
  </si>
  <si>
    <t>3.</t>
  </si>
  <si>
    <t>4.</t>
  </si>
  <si>
    <t>5.</t>
  </si>
  <si>
    <t>млн долл</t>
  </si>
  <si>
    <t>Мехнат унумдорлиги</t>
  </si>
  <si>
    <t>млрд. сўм.</t>
  </si>
  <si>
    <t>прогноз</t>
  </si>
  <si>
    <t>вазн</t>
  </si>
  <si>
    <t>Комплаенс назоратини ташкил этиш
(профилактик учрашувлар ва семинарлар)</t>
  </si>
  <si>
    <t>млн. сўм</t>
  </si>
  <si>
    <t>Кора метал парчаларини топшириш</t>
  </si>
  <si>
    <t>тонна</t>
  </si>
  <si>
    <t>Умумий самарадорлик кўрсаткичи (УСК)</t>
  </si>
  <si>
    <t>коэф.</t>
  </si>
  <si>
    <t xml:space="preserve">"Ijro.gov.uz" ижро интизоми идоралараро ягона электрон тизими орқали топшириқ ва 
вазифалар ижросининг таъминланиши. </t>
  </si>
  <si>
    <t>Маҳаллийлаштириш дастури доирасида ишлаб
чиқариладиган маҳсулот турлари ва ҳажми.</t>
  </si>
  <si>
    <t>2024 йил 
амалда</t>
  </si>
  <si>
    <t xml:space="preserve">Саноат маҳсулотини ишлаб чиқариш (амалдаги нархларда). </t>
  </si>
  <si>
    <t xml:space="preserve">Сотишдан тушган  даромад </t>
  </si>
  <si>
    <t>минг куб метр</t>
  </si>
  <si>
    <t>2026 йил</t>
  </si>
  <si>
    <t>млрд. сўм</t>
  </si>
  <si>
    <t>3.1.</t>
  </si>
  <si>
    <t>3.2.</t>
  </si>
  <si>
    <r>
      <t xml:space="preserve">1. Бош директор </t>
    </r>
    <r>
      <rPr>
        <sz val="14"/>
        <color theme="1"/>
        <rFont val="Times New Roman"/>
        <family val="1"/>
        <charset val="204"/>
      </rPr>
      <t>(Н.У. Дусматов )</t>
    </r>
  </si>
  <si>
    <t>Шахсий ва сайёр қабуллар ташкил этиш.</t>
  </si>
  <si>
    <r>
      <t>2.Бош директорнинг биринчи ўринбосари</t>
    </r>
    <r>
      <rPr>
        <sz val="14"/>
        <color theme="1"/>
        <rFont val="Times New Roman"/>
        <family val="1"/>
        <charset val="204"/>
      </rPr>
      <t xml:space="preserve"> </t>
    </r>
    <r>
      <rPr>
        <i/>
        <sz val="14"/>
        <color theme="1"/>
        <rFont val="Times New Roman"/>
        <family val="1"/>
        <charset val="204"/>
      </rPr>
      <t>(молия, трансформация ва хусусийлаштириш бўйича)</t>
    </r>
    <r>
      <rPr>
        <sz val="14"/>
        <color theme="1"/>
        <rFont val="Times New Roman"/>
        <family val="1"/>
        <charset val="204"/>
      </rPr>
      <t xml:space="preserve"> (Э.О. Якубов)</t>
    </r>
  </si>
  <si>
    <t>Ташки беғараз кўмак (гранд) маблағларини жалб этиш бўйича лойиҳаларни ишлаб чиқиш</t>
  </si>
  <si>
    <t>Энергия ресурслари тежамкорлигини таъминлаш.</t>
  </si>
  <si>
    <t>Ўзбекистон Республикаси Вазирлар маҳкамасининг “Ижтимоий муҳофазага муҳтож, иш топишда қийналаётган ва меҳнат бозорида тенг шартларда рақобатлаша олмайдиган шахсларни ишга жойлаштириш учун иш ўринларининг энг кам сонини белгилаш ва захирага олиш тартиби тўғрисидаги 2017-йил 5-декбардаги 965-сонли қарори ижроси.</t>
  </si>
  <si>
    <r>
      <t xml:space="preserve">4. Бош муҳандис </t>
    </r>
    <r>
      <rPr>
        <sz val="14"/>
        <color theme="1"/>
        <rFont val="Times New Roman"/>
        <family val="1"/>
        <charset val="204"/>
      </rPr>
      <t>(В.В. Кузнецов)</t>
    </r>
  </si>
  <si>
    <r>
      <t>3.  Бош директорнинг биринчи ўринбосари</t>
    </r>
    <r>
      <rPr>
        <b/>
        <i/>
        <sz val="14"/>
        <color theme="1"/>
        <rFont val="Times New Roman"/>
        <family val="1"/>
        <charset val="204"/>
      </rPr>
      <t xml:space="preserve"> </t>
    </r>
    <r>
      <rPr>
        <i/>
        <sz val="14"/>
        <color theme="1"/>
        <rFont val="Times New Roman"/>
        <family val="1"/>
        <charset val="204"/>
      </rPr>
      <t xml:space="preserve">(локализация, саноатда кооперация алоқалари ва ахборот технологиялари бўйича) </t>
    </r>
    <r>
      <rPr>
        <sz val="14"/>
        <color theme="1"/>
        <rFont val="Times New Roman"/>
        <family val="1"/>
        <charset val="204"/>
      </rPr>
      <t>(О.Я. Исмаилов)</t>
    </r>
  </si>
  <si>
    <t>амалда</t>
  </si>
  <si>
    <t>Прогнозлаштириш, таҳлил
ва иқтисод бўлими бошлиғи</t>
  </si>
  <si>
    <t>А.Н. Умаров</t>
  </si>
  <si>
    <r>
      <rPr>
        <b/>
        <sz val="14"/>
        <color rgb="FFFF0000"/>
        <rFont val="Times New Roman"/>
        <family val="1"/>
        <charset val="204"/>
      </rPr>
      <t>«Ўзбеккўмир»</t>
    </r>
    <r>
      <rPr>
        <b/>
        <sz val="14"/>
        <color theme="1"/>
        <rFont val="Times New Roman"/>
        <family val="1"/>
        <charset val="204"/>
      </rPr>
      <t xml:space="preserve"> АЖнинг 2026 йил I чорак учун энг мухим самарадорлик кўрсаткичлари (KPI) бажарилиши бўйича
</t>
    </r>
    <r>
      <rPr>
        <b/>
        <sz val="14"/>
        <color rgb="FFFF0000"/>
        <rFont val="Times New Roman"/>
        <family val="1"/>
        <charset val="204"/>
      </rPr>
      <t>МАЪЛУМОТ</t>
    </r>
  </si>
  <si>
    <r>
      <t xml:space="preserve">5. Бош директор ўринбосари режим ва кадрлар масалалари бўйича </t>
    </r>
    <r>
      <rPr>
        <sz val="14"/>
        <color theme="1"/>
        <rFont val="Times New Roman"/>
        <family val="1"/>
        <charset val="204"/>
      </rPr>
      <t>(вакант)</t>
    </r>
  </si>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</sst>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р_._-;\-* #,##0.00_р_._-;_-* &quot;-&quot;??_р_._-;_-@_-"/>
    <numFmt numFmtId="164" formatCode="0.000"/>
    <numFmt numFmtId="165" formatCode="0.0"/>
    <numFmt numFmtId="166" formatCode="_-* #,##0.0_р_._-;\-* #,##0.0_р_._-;_-* &quot;-&quot;??_р_._-;_-@_-"/>
    <numFmt numFmtId="167" formatCode="#,##0.0"/>
    <numFmt numFmtId="168" formatCode="#,##0.0_ ;\-#,##0.0\ "/>
    <numFmt numFmtId="169" formatCode="0.00000"/>
    <numFmt numFmtId="170" formatCode="#,##0.0000_ ;\-#,##0.0000\ "/>
    <numFmt numFmtId="171" formatCode="#,##0.000_ ;\-#,##0.000\ "/>
  </numFmts>
  <fonts count="10" x14ac:knownFonts="1">
    <font>
      <sz val="11"/>
      <color theme="1"/>
      <name val="Calibri"/>
      <family val="2"/>
      <scheme val="minor"/>
    </font>
    <font>
      <sz val="11"/>
      <color theme="1"/>
      <name val="Calibri"/>
      <family val="2"/>
      <scheme val="minor"/>
    </font>
    <font>
      <b/>
      <sz val="14"/>
      <color rgb="FF000000"/>
      <name val="Times New Roman"/>
      <family val="1"/>
      <charset val="204"/>
    </font>
    <font>
      <sz val="14"/>
      <color theme="1"/>
      <name val="Times New Roman"/>
      <family val="1"/>
      <charset val="204"/>
    </font>
    <font>
      <b/>
      <sz val="14"/>
      <color theme="1"/>
      <name val="Times New Roman"/>
      <family val="1"/>
      <charset val="204"/>
    </font>
    <font>
      <sz val="11"/>
      <color indexed="8"/>
      <name val="Calibri"/>
      <family val="2"/>
      <charset val="204"/>
    </font>
    <font>
      <i/>
      <sz val="14"/>
      <color theme="1"/>
      <name val="Times New Roman"/>
      <family val="1"/>
      <charset val="204"/>
    </font>
    <font>
      <b/>
      <i/>
      <sz val="14"/>
      <color theme="1"/>
      <name val="Times New Roman"/>
      <family val="1"/>
      <charset val="204"/>
    </font>
    <font>
      <sz val="14"/>
      <color rgb="FF000000"/>
      <name val="Cambria"/>
      <family val="1"/>
      <charset val="204"/>
    </font>
    <font>
      <b/>
      <sz val="14"/>
      <color rgb="FFFF0000"/>
      <name val="Times New Roman"/>
      <family val="1"/>
      <charset val="204"/>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5" fillId="0" borderId="0"/>
  </cellStyleXfs>
  <cellXfs count="79">
    <xf numFmtId="0" fontId="0" fillId="0" borderId="0" xfId="0"/>
    <xf numFmtId="0" fontId="3" fillId="0" borderId="0" xfId="0" applyFont="1"/>
    <xf numFmtId="0" fontId="3"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3" fontId="3" fillId="0" borderId="1" xfId="0" applyNumberFormat="1" applyFont="1" applyBorder="1" applyAlignment="1">
      <alignment horizontal="center" vertical="center"/>
    </xf>
    <xf numFmtId="3" fontId="3" fillId="0" borderId="1" xfId="0" applyNumberFormat="1" applyFont="1" applyFill="1" applyBorder="1" applyAlignment="1">
      <alignment horizontal="center" vertical="center"/>
    </xf>
    <xf numFmtId="165" fontId="3" fillId="0" borderId="1" xfId="0" applyNumberFormat="1" applyFont="1" applyFill="1" applyBorder="1" applyAlignment="1">
      <alignment horizontal="center" vertical="center"/>
    </xf>
    <xf numFmtId="3" fontId="3"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3" fontId="4" fillId="0" borderId="1" xfId="0" applyNumberFormat="1" applyFont="1" applyFill="1" applyBorder="1" applyAlignment="1">
      <alignment horizontal="center" vertical="center"/>
    </xf>
    <xf numFmtId="3" fontId="4" fillId="0" borderId="1" xfId="0" applyNumberFormat="1" applyFont="1" applyBorder="1" applyAlignment="1">
      <alignment horizontal="center"/>
    </xf>
    <xf numFmtId="0" fontId="3" fillId="0" borderId="1" xfId="0" applyFont="1" applyFill="1" applyBorder="1" applyAlignment="1">
      <alignment horizontal="center" vertical="center"/>
    </xf>
    <xf numFmtId="166" fontId="3" fillId="0" borderId="1" xfId="1"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168" fontId="3" fillId="0" borderId="0" xfId="0" applyNumberFormat="1" applyFont="1"/>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1" xfId="0" applyFont="1" applyFill="1" applyBorder="1" applyAlignment="1">
      <alignment horizontal="left" vertical="center" wrapText="1"/>
    </xf>
    <xf numFmtId="167" fontId="3" fillId="0" borderId="1" xfId="1" applyNumberFormat="1" applyFont="1" applyFill="1" applyBorder="1" applyAlignment="1">
      <alignment horizontal="center" vertical="center"/>
    </xf>
    <xf numFmtId="168" fontId="3" fillId="0" borderId="1" xfId="1" applyNumberFormat="1" applyFont="1" applyFill="1" applyBorder="1" applyAlignment="1">
      <alignment horizontal="center"/>
    </xf>
    <xf numFmtId="164" fontId="3"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3" fontId="3"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3" fillId="0" borderId="1" xfId="0" applyFont="1" applyFill="1" applyBorder="1" applyAlignment="1">
      <alignment horizontal="left" wrapText="1" indent="2"/>
    </xf>
    <xf numFmtId="0" fontId="3" fillId="0" borderId="1" xfId="0" applyFont="1" applyFill="1" applyBorder="1" applyAlignment="1">
      <alignment horizontal="left" vertical="center"/>
    </xf>
    <xf numFmtId="0" fontId="3" fillId="0" borderId="1" xfId="0" applyFont="1" applyFill="1" applyBorder="1" applyAlignment="1">
      <alignment vertical="center"/>
    </xf>
    <xf numFmtId="3" fontId="3" fillId="0" borderId="1" xfId="0" applyNumberFormat="1" applyFont="1" applyFill="1" applyBorder="1" applyAlignment="1">
      <alignment horizontal="center" wrapText="1"/>
    </xf>
    <xf numFmtId="1" fontId="3" fillId="0" borderId="1" xfId="1" applyNumberFormat="1" applyFont="1" applyFill="1" applyBorder="1" applyAlignment="1">
      <alignment horizontal="center" vertical="center" wrapText="1"/>
    </xf>
    <xf numFmtId="169" fontId="3" fillId="0" borderId="0" xfId="0" applyNumberFormat="1" applyFont="1"/>
    <xf numFmtId="170" fontId="3" fillId="0" borderId="1" xfId="1" applyNumberFormat="1" applyFont="1" applyFill="1" applyBorder="1" applyAlignment="1">
      <alignment horizontal="center"/>
    </xf>
    <xf numFmtId="0" fontId="8" fillId="0" borderId="0" xfId="0" applyFont="1"/>
    <xf numFmtId="0" fontId="2" fillId="0" borderId="0" xfId="0" applyFont="1" applyAlignment="1">
      <alignment horizontal="left" vertical="center" wrapText="1" indent="20"/>
    </xf>
    <xf numFmtId="167" fontId="3" fillId="0" borderId="1" xfId="0" applyNumberFormat="1" applyFont="1" applyFill="1" applyBorder="1" applyAlignment="1">
      <alignment horizontal="center" vertical="center"/>
    </xf>
    <xf numFmtId="167" fontId="3" fillId="0" borderId="1" xfId="1" applyNumberFormat="1" applyFont="1" applyFill="1" applyBorder="1" applyAlignment="1">
      <alignment horizontal="center" vertical="center" wrapText="1"/>
    </xf>
    <xf numFmtId="168" fontId="3" fillId="0" borderId="1" xfId="1" applyNumberFormat="1" applyFont="1" applyFill="1" applyBorder="1" applyAlignment="1">
      <alignment horizontal="center" vertical="center" wrapText="1"/>
    </xf>
    <xf numFmtId="171" fontId="3" fillId="0" borderId="1" xfId="1" applyNumberFormat="1" applyFont="1" applyFill="1" applyBorder="1" applyAlignment="1">
      <alignment horizontal="center" vertical="center" wrapText="1"/>
    </xf>
    <xf numFmtId="170" fontId="3" fillId="0" borderId="1" xfId="1"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center"/>
    </xf>
    <xf numFmtId="3" fontId="3" fillId="0" borderId="2" xfId="0" applyNumberFormat="1" applyFont="1" applyFill="1" applyBorder="1" applyAlignment="1">
      <alignment horizontal="center" vertical="center"/>
    </xf>
    <xf numFmtId="3" fontId="3" fillId="0" borderId="3" xfId="0" applyNumberFormat="1" applyFont="1" applyFill="1" applyBorder="1" applyAlignment="1">
      <alignment horizontal="center" vertical="center"/>
    </xf>
    <xf numFmtId="0" fontId="2" fillId="0" borderId="0" xfId="0" applyFont="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168" fontId="3" fillId="0" borderId="2" xfId="1" applyNumberFormat="1" applyFont="1" applyFill="1" applyBorder="1" applyAlignment="1">
      <alignment horizontal="center" vertical="center" wrapText="1"/>
    </xf>
    <xf numFmtId="168" fontId="3" fillId="0" borderId="3" xfId="1" applyNumberFormat="1" applyFont="1" applyFill="1" applyBorder="1" applyAlignment="1">
      <alignment horizontal="center" vertical="center" wrapText="1"/>
    </xf>
    <xf numFmtId="167" fontId="3" fillId="0" borderId="2" xfId="0" applyNumberFormat="1" applyFont="1" applyFill="1" applyBorder="1" applyAlignment="1">
      <alignment horizontal="center" vertical="center"/>
    </xf>
    <xf numFmtId="167" fontId="3" fillId="0" borderId="3"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Border="1" applyAlignment="1">
      <alignment horizont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xf>
    <xf numFmtId="167" fontId="3" fillId="0" borderId="1" xfId="0" applyNumberFormat="1" applyFont="1" applyFill="1" applyBorder="1" applyAlignment="1">
      <alignment horizontal="center" vertical="center" wrapText="1"/>
    </xf>
  </cellXfs>
  <cellStyles count="3">
    <cellStyle name="Обычный" xfId="0" builtinId="0"/>
    <cellStyle name="Обычный 2" xfId="2"/>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Y48"/>
  <sheetViews>
    <sheetView tabSelected="1" view="pageBreakPreview" zoomScale="85" zoomScaleNormal="85" zoomScaleSheetLayoutView="85" workbookViewId="0">
      <selection activeCell="H30" sqref="H30"/>
    </sheetView>
  </sheetViews>
  <sheetFormatPr defaultRowHeight="18.75" outlineLevelCol="1" x14ac:dyDescent="0.3"/>
  <cols>
    <col min="1" max="1" width="6.5703125" style="1" customWidth="1"/>
    <col min="2" max="2" width="64.140625" style="1" customWidth="1"/>
    <col min="3" max="3" width="18.140625" style="1" bestFit="1" customWidth="1"/>
    <col min="4" max="4" width="15.85546875" style="1" hidden="1" customWidth="1" outlineLevel="1"/>
    <col min="5" max="5" width="9.85546875" style="1" bestFit="1" customWidth="1" collapsed="1"/>
    <col min="6" max="6" width="19.42578125" style="1" customWidth="1"/>
    <col min="7" max="7" width="11.28515625" style="1" bestFit="1" customWidth="1"/>
    <col min="8" max="8" width="18.5703125" style="1" customWidth="1"/>
    <col min="9" max="9" width="11.42578125" style="1" bestFit="1" customWidth="1"/>
    <col min="10" max="10" width="17.85546875" style="1" customWidth="1"/>
    <col min="11" max="11" width="7.140625" style="1" hidden="1" customWidth="1" outlineLevel="1"/>
    <col min="12" max="12" width="14.85546875" style="1" hidden="1" customWidth="1" outlineLevel="1"/>
    <col min="13" max="13" width="7.140625" style="1" hidden="1" customWidth="1" outlineLevel="1"/>
    <col min="14" max="14" width="14.85546875" style="1" hidden="1" customWidth="1" outlineLevel="1"/>
    <col min="15" max="15" width="7.140625" style="1" hidden="1" customWidth="1" outlineLevel="1"/>
    <col min="16" max="16" width="15.85546875" style="1" hidden="1" customWidth="1" outlineLevel="1"/>
    <col min="17" max="17" width="9.140625" style="1" collapsed="1"/>
    <col min="18" max="24" width="9.140625" style="1"/>
    <col min="25" max="25" width="9.85546875" style="1" bestFit="1" customWidth="1"/>
    <col min="26" max="16384" width="9.140625" style="1"/>
  </cols>
  <sheetData>
    <row r="2" spans="1:16" ht="49.5" customHeight="1" x14ac:dyDescent="0.3">
      <c r="A2" s="57" t="s">
        <v>61</v>
      </c>
      <c r="B2" s="57"/>
      <c r="C2" s="57"/>
      <c r="D2" s="57"/>
      <c r="E2" s="57"/>
      <c r="F2" s="57"/>
      <c r="G2" s="57"/>
      <c r="H2" s="57"/>
      <c r="I2" s="57"/>
      <c r="J2" s="57"/>
      <c r="K2" s="57"/>
      <c r="L2" s="57"/>
      <c r="M2" s="57"/>
      <c r="N2" s="57"/>
      <c r="O2" s="57"/>
      <c r="P2" s="57"/>
    </row>
    <row r="4" spans="1:16" ht="18.75" customHeight="1" x14ac:dyDescent="0.3">
      <c r="A4" s="58" t="s">
        <v>0</v>
      </c>
      <c r="B4" s="61" t="s">
        <v>1</v>
      </c>
      <c r="C4" s="64" t="s">
        <v>22</v>
      </c>
      <c r="D4" s="74" t="s">
        <v>42</v>
      </c>
      <c r="E4" s="67" t="s">
        <v>46</v>
      </c>
      <c r="F4" s="68"/>
      <c r="G4" s="71" t="s">
        <v>2</v>
      </c>
      <c r="H4" s="72"/>
      <c r="I4" s="72"/>
      <c r="J4" s="72"/>
      <c r="K4" s="72"/>
      <c r="L4" s="72"/>
      <c r="M4" s="72"/>
      <c r="N4" s="72"/>
      <c r="O4" s="72"/>
      <c r="P4" s="73"/>
    </row>
    <row r="5" spans="1:16" x14ac:dyDescent="0.3">
      <c r="A5" s="59"/>
      <c r="B5" s="62"/>
      <c r="C5" s="65"/>
      <c r="D5" s="75"/>
      <c r="E5" s="69"/>
      <c r="F5" s="70"/>
      <c r="G5" s="71" t="s">
        <v>3</v>
      </c>
      <c r="H5" s="72"/>
      <c r="I5" s="72"/>
      <c r="J5" s="73"/>
      <c r="K5" s="71" t="s">
        <v>4</v>
      </c>
      <c r="L5" s="73"/>
      <c r="M5" s="71" t="s">
        <v>5</v>
      </c>
      <c r="N5" s="73"/>
      <c r="O5" s="71" t="s">
        <v>6</v>
      </c>
      <c r="P5" s="73"/>
    </row>
    <row r="6" spans="1:16" x14ac:dyDescent="0.3">
      <c r="A6" s="60"/>
      <c r="B6" s="63"/>
      <c r="C6" s="66"/>
      <c r="D6" s="76"/>
      <c r="E6" s="16" t="s">
        <v>33</v>
      </c>
      <c r="F6" s="17" t="s">
        <v>32</v>
      </c>
      <c r="G6" s="16" t="s">
        <v>33</v>
      </c>
      <c r="H6" s="17" t="s">
        <v>32</v>
      </c>
      <c r="I6" s="16" t="s">
        <v>33</v>
      </c>
      <c r="J6" s="17" t="s">
        <v>58</v>
      </c>
      <c r="K6" s="16" t="s">
        <v>33</v>
      </c>
      <c r="L6" s="17" t="s">
        <v>32</v>
      </c>
      <c r="M6" s="16" t="s">
        <v>33</v>
      </c>
      <c r="N6" s="17" t="s">
        <v>32</v>
      </c>
      <c r="O6" s="16" t="s">
        <v>33</v>
      </c>
      <c r="P6" s="17" t="s">
        <v>32</v>
      </c>
    </row>
    <row r="7" spans="1:16" x14ac:dyDescent="0.3">
      <c r="A7" s="77" t="s">
        <v>50</v>
      </c>
      <c r="B7" s="77"/>
      <c r="C7" s="77"/>
      <c r="D7" s="77"/>
      <c r="E7" s="77"/>
      <c r="F7" s="77"/>
      <c r="G7" s="77"/>
      <c r="H7" s="77"/>
      <c r="I7" s="77"/>
      <c r="J7" s="77"/>
      <c r="K7" s="77"/>
      <c r="L7" s="77"/>
      <c r="M7" s="77"/>
      <c r="N7" s="77"/>
      <c r="O7" s="77"/>
      <c r="P7" s="77"/>
    </row>
    <row r="8" spans="1:16" ht="37.5" x14ac:dyDescent="0.3">
      <c r="A8" s="2" t="s">
        <v>24</v>
      </c>
      <c r="B8" s="19" t="s">
        <v>43</v>
      </c>
      <c r="C8" s="2" t="s">
        <v>7</v>
      </c>
      <c r="D8" s="22">
        <v>1795.9102130000001</v>
      </c>
      <c r="E8" s="39">
        <v>20</v>
      </c>
      <c r="F8" s="39">
        <f>H8+L8+P8+N8</f>
        <v>1668.509</v>
      </c>
      <c r="G8" s="39">
        <v>20</v>
      </c>
      <c r="H8" s="39">
        <v>288.3</v>
      </c>
      <c r="I8" s="39">
        <v>20</v>
      </c>
      <c r="J8" s="39">
        <v>290.33800000000002</v>
      </c>
      <c r="K8" s="9">
        <v>20</v>
      </c>
      <c r="L8" s="22">
        <v>418.12599999999998</v>
      </c>
      <c r="M8" s="9">
        <v>20</v>
      </c>
      <c r="N8" s="22">
        <v>555.33900000000006</v>
      </c>
      <c r="O8" s="9">
        <v>20</v>
      </c>
      <c r="P8" s="22">
        <v>406.74400000000003</v>
      </c>
    </row>
    <row r="9" spans="1:16" x14ac:dyDescent="0.3">
      <c r="A9" s="2" t="s">
        <v>25</v>
      </c>
      <c r="B9" s="19" t="s">
        <v>44</v>
      </c>
      <c r="C9" s="2" t="s">
        <v>31</v>
      </c>
      <c r="D9" s="22">
        <v>1379.01</v>
      </c>
      <c r="E9" s="39">
        <v>20</v>
      </c>
      <c r="F9" s="39">
        <f>H9+L9+P9+N9</f>
        <v>1944.4147539999999</v>
      </c>
      <c r="G9" s="39">
        <v>20</v>
      </c>
      <c r="H9" s="39">
        <v>479.584543</v>
      </c>
      <c r="I9" s="39">
        <v>20</v>
      </c>
      <c r="J9" s="39">
        <v>501.69499999999999</v>
      </c>
      <c r="K9" s="9">
        <v>20</v>
      </c>
      <c r="L9" s="22">
        <v>494.71846799999997</v>
      </c>
      <c r="M9" s="9">
        <v>20</v>
      </c>
      <c r="N9" s="22">
        <v>480.33437099999998</v>
      </c>
      <c r="O9" s="9">
        <v>20</v>
      </c>
      <c r="P9" s="22">
        <v>489.77737200000001</v>
      </c>
    </row>
    <row r="10" spans="1:16" ht="18" customHeight="1" x14ac:dyDescent="0.3">
      <c r="A10" s="2" t="s">
        <v>26</v>
      </c>
      <c r="B10" s="19" t="s">
        <v>8</v>
      </c>
      <c r="C10" s="4" t="s">
        <v>23</v>
      </c>
      <c r="D10" s="22">
        <v>6765.9422400000003</v>
      </c>
      <c r="E10" s="39">
        <v>20</v>
      </c>
      <c r="F10" s="39">
        <f>H10+L10+P10+N10</f>
        <v>5700</v>
      </c>
      <c r="G10" s="39">
        <v>20</v>
      </c>
      <c r="H10" s="39">
        <v>1000.6</v>
      </c>
      <c r="I10" s="39">
        <f t="shared" ref="I10" si="0">J10/H10*G10</f>
        <v>20.00591645012992</v>
      </c>
      <c r="J10" s="39">
        <v>1000.896</v>
      </c>
      <c r="K10" s="9">
        <v>20</v>
      </c>
      <c r="L10" s="22">
        <v>1429.9</v>
      </c>
      <c r="M10" s="9">
        <v>20</v>
      </c>
      <c r="N10" s="22">
        <v>1882.4</v>
      </c>
      <c r="O10" s="9">
        <v>20</v>
      </c>
      <c r="P10" s="22">
        <v>1387.1</v>
      </c>
    </row>
    <row r="11" spans="1:16" ht="18" customHeight="1" x14ac:dyDescent="0.3">
      <c r="A11" s="2" t="s">
        <v>27</v>
      </c>
      <c r="B11" s="19" t="s">
        <v>51</v>
      </c>
      <c r="C11" s="2" t="s">
        <v>9</v>
      </c>
      <c r="D11" s="22">
        <v>5882.6799499999997</v>
      </c>
      <c r="E11" s="39">
        <v>20</v>
      </c>
      <c r="F11" s="39">
        <f>H11+L11+P11+N11</f>
        <v>4</v>
      </c>
      <c r="G11" s="39">
        <v>20</v>
      </c>
      <c r="H11" s="39">
        <v>1</v>
      </c>
      <c r="I11" s="39">
        <v>20</v>
      </c>
      <c r="J11" s="39">
        <v>8</v>
      </c>
      <c r="K11" s="9">
        <v>20</v>
      </c>
      <c r="L11" s="22">
        <v>1</v>
      </c>
      <c r="M11" s="9">
        <v>20</v>
      </c>
      <c r="N11" s="22">
        <v>1</v>
      </c>
      <c r="O11" s="9">
        <v>20</v>
      </c>
      <c r="P11" s="22">
        <v>1</v>
      </c>
    </row>
    <row r="12" spans="1:16" ht="56.25" x14ac:dyDescent="0.3">
      <c r="A12" s="2" t="s">
        <v>28</v>
      </c>
      <c r="B12" s="19" t="s">
        <v>12</v>
      </c>
      <c r="C12" s="2" t="s">
        <v>9</v>
      </c>
      <c r="D12" s="7">
        <v>4</v>
      </c>
      <c r="E12" s="39">
        <v>20</v>
      </c>
      <c r="F12" s="39">
        <v>100</v>
      </c>
      <c r="G12" s="39">
        <v>20</v>
      </c>
      <c r="H12" s="39">
        <v>100</v>
      </c>
      <c r="I12" s="39">
        <f t="shared" ref="I12" si="1">J12/H12*G12</f>
        <v>20</v>
      </c>
      <c r="J12" s="39">
        <v>100</v>
      </c>
      <c r="K12" s="26">
        <v>20</v>
      </c>
      <c r="L12" s="7">
        <v>1</v>
      </c>
      <c r="M12" s="26">
        <v>20</v>
      </c>
      <c r="N12" s="7">
        <v>1</v>
      </c>
      <c r="O12" s="26">
        <v>20</v>
      </c>
      <c r="P12" s="7">
        <v>1</v>
      </c>
    </row>
    <row r="13" spans="1:16" x14ac:dyDescent="0.3">
      <c r="A13" s="2"/>
      <c r="B13" s="5"/>
      <c r="C13" s="2"/>
      <c r="D13" s="6"/>
      <c r="E13" s="10">
        <f>E8+E10+E11++E12+E9</f>
        <v>100</v>
      </c>
      <c r="F13" s="6"/>
      <c r="G13" s="10">
        <f>G8+G10+G11++G12+G9</f>
        <v>100</v>
      </c>
      <c r="H13" s="6"/>
      <c r="I13" s="10">
        <f>I8+I10+I11++I12+I9</f>
        <v>100.00591645012992</v>
      </c>
      <c r="J13" s="6"/>
      <c r="K13" s="10">
        <f>K8+K10+K11++K12+K9</f>
        <v>100</v>
      </c>
      <c r="L13" s="6"/>
      <c r="M13" s="10">
        <f>M8+M10+M11++M12+M9</f>
        <v>100</v>
      </c>
      <c r="N13" s="6"/>
      <c r="O13" s="10">
        <f>O8+O10+O11++O12+O9</f>
        <v>100</v>
      </c>
      <c r="P13" s="6"/>
    </row>
    <row r="14" spans="1:16" x14ac:dyDescent="0.3">
      <c r="A14" s="44" t="s">
        <v>52</v>
      </c>
      <c r="B14" s="44"/>
      <c r="C14" s="44"/>
      <c r="D14" s="44"/>
      <c r="E14" s="44"/>
      <c r="F14" s="44"/>
      <c r="G14" s="44"/>
      <c r="H14" s="44"/>
      <c r="I14" s="44"/>
      <c r="J14" s="44"/>
      <c r="K14" s="44"/>
      <c r="L14" s="44"/>
      <c r="M14" s="44"/>
      <c r="N14" s="44"/>
      <c r="O14" s="44"/>
      <c r="P14" s="44"/>
    </row>
    <row r="15" spans="1:16" x14ac:dyDescent="0.3">
      <c r="A15" s="14" t="s">
        <v>24</v>
      </c>
      <c r="B15" s="19" t="s">
        <v>51</v>
      </c>
      <c r="C15" s="2" t="s">
        <v>9</v>
      </c>
      <c r="D15" s="22">
        <v>5882.6799499999997</v>
      </c>
      <c r="E15" s="39">
        <v>15</v>
      </c>
      <c r="F15" s="39">
        <f>H15+L15+P15+N15</f>
        <v>4</v>
      </c>
      <c r="G15" s="39">
        <v>15</v>
      </c>
      <c r="H15" s="39">
        <v>1</v>
      </c>
      <c r="I15" s="39">
        <f t="shared" ref="I15:I20" si="2">J15/H15*G15</f>
        <v>15</v>
      </c>
      <c r="J15" s="39">
        <v>1</v>
      </c>
      <c r="K15" s="9">
        <v>15</v>
      </c>
      <c r="L15" s="22">
        <v>1</v>
      </c>
      <c r="M15" s="9">
        <v>15</v>
      </c>
      <c r="N15" s="22">
        <v>1</v>
      </c>
      <c r="O15" s="9">
        <v>15</v>
      </c>
      <c r="P15" s="22">
        <v>1</v>
      </c>
    </row>
    <row r="16" spans="1:16" ht="37.5" x14ac:dyDescent="0.3">
      <c r="A16" s="14" t="s">
        <v>25</v>
      </c>
      <c r="B16" s="21" t="s">
        <v>43</v>
      </c>
      <c r="C16" s="14" t="s">
        <v>14</v>
      </c>
      <c r="D16" s="22">
        <v>1795.9102130000001</v>
      </c>
      <c r="E16" s="39">
        <v>25</v>
      </c>
      <c r="F16" s="39">
        <f>F8</f>
        <v>1668.509</v>
      </c>
      <c r="G16" s="39">
        <v>25</v>
      </c>
      <c r="H16" s="39">
        <f>H8</f>
        <v>288.3</v>
      </c>
      <c r="I16" s="39">
        <f t="shared" si="2"/>
        <v>25.176725633021157</v>
      </c>
      <c r="J16" s="39">
        <f>J8</f>
        <v>290.33800000000002</v>
      </c>
      <c r="K16" s="9">
        <v>25</v>
      </c>
      <c r="L16" s="22">
        <f>L8</f>
        <v>418.12599999999998</v>
      </c>
      <c r="M16" s="9">
        <v>25</v>
      </c>
      <c r="N16" s="22">
        <f>N8</f>
        <v>555.33900000000006</v>
      </c>
      <c r="O16" s="9">
        <v>25</v>
      </c>
      <c r="P16" s="22">
        <f>P8</f>
        <v>406.74400000000003</v>
      </c>
    </row>
    <row r="17" spans="1:25" x14ac:dyDescent="0.3">
      <c r="A17" s="14" t="s">
        <v>26</v>
      </c>
      <c r="B17" s="29" t="s">
        <v>30</v>
      </c>
      <c r="C17" s="14" t="s">
        <v>39</v>
      </c>
      <c r="D17" s="23">
        <f>D15/5595</f>
        <v>1.051417327971403</v>
      </c>
      <c r="E17" s="39">
        <v>10</v>
      </c>
      <c r="F17" s="39">
        <f>F16/5595</f>
        <v>0.2982142984807864</v>
      </c>
      <c r="G17" s="39">
        <v>10</v>
      </c>
      <c r="H17" s="41">
        <f>H16/5595</f>
        <v>5.152815013404826E-2</v>
      </c>
      <c r="I17" s="39">
        <f t="shared" si="2"/>
        <v>10.002753766501218</v>
      </c>
      <c r="J17" s="40">
        <f>J16/5633</f>
        <v>5.1542339783419142E-2</v>
      </c>
      <c r="K17" s="9">
        <v>10</v>
      </c>
      <c r="L17" s="34">
        <f>L16/5595</f>
        <v>7.4732082216264512E-2</v>
      </c>
      <c r="M17" s="9">
        <v>10</v>
      </c>
      <c r="N17" s="34">
        <f>N16/5595</f>
        <v>9.9256300268096523E-2</v>
      </c>
      <c r="O17" s="9">
        <v>10</v>
      </c>
      <c r="P17" s="34">
        <f>P16/5595</f>
        <v>7.2697765862377126E-2</v>
      </c>
    </row>
    <row r="18" spans="1:25" x14ac:dyDescent="0.3">
      <c r="A18" s="42" t="s">
        <v>27</v>
      </c>
      <c r="B18" s="48" t="s">
        <v>20</v>
      </c>
      <c r="C18" s="14" t="s">
        <v>13</v>
      </c>
      <c r="D18" s="23">
        <v>10.1</v>
      </c>
      <c r="E18" s="50">
        <v>30</v>
      </c>
      <c r="F18" s="39">
        <v>5.0999999999999996</v>
      </c>
      <c r="G18" s="50">
        <v>30</v>
      </c>
      <c r="H18" s="39">
        <v>5.0999999999999996</v>
      </c>
      <c r="I18" s="50">
        <f t="shared" si="2"/>
        <v>30</v>
      </c>
      <c r="J18" s="39">
        <v>5.0999999999999996</v>
      </c>
      <c r="K18" s="45">
        <v>30</v>
      </c>
      <c r="L18" s="23">
        <v>5.0999999999999996</v>
      </c>
      <c r="M18" s="45">
        <v>30</v>
      </c>
      <c r="N18" s="23">
        <v>5.0999999999999996</v>
      </c>
      <c r="O18" s="45">
        <v>30</v>
      </c>
      <c r="P18" s="23">
        <v>5.0999999999999996</v>
      </c>
    </row>
    <row r="19" spans="1:25" x14ac:dyDescent="0.3">
      <c r="A19" s="43"/>
      <c r="B19" s="49"/>
      <c r="C19" s="14" t="s">
        <v>47</v>
      </c>
      <c r="D19" s="23">
        <v>172.31</v>
      </c>
      <c r="E19" s="51"/>
      <c r="F19" s="39">
        <f>+H19+L19+N19+P19</f>
        <v>110.90005043635171</v>
      </c>
      <c r="G19" s="51"/>
      <c r="H19" s="39">
        <v>29.936486143099899</v>
      </c>
      <c r="I19" s="51"/>
      <c r="J19" s="39">
        <v>30.135999999999999</v>
      </c>
      <c r="K19" s="46"/>
      <c r="L19" s="23">
        <v>25.2947735383622</v>
      </c>
      <c r="M19" s="46"/>
      <c r="N19" s="23">
        <v>26.0049332289286</v>
      </c>
      <c r="O19" s="46"/>
      <c r="P19" s="23">
        <v>29.663857525960999</v>
      </c>
    </row>
    <row r="20" spans="1:25" ht="56.25" x14ac:dyDescent="0.3">
      <c r="A20" s="14" t="s">
        <v>28</v>
      </c>
      <c r="B20" s="21" t="s">
        <v>12</v>
      </c>
      <c r="C20" s="14" t="s">
        <v>9</v>
      </c>
      <c r="D20" s="14">
        <v>4</v>
      </c>
      <c r="E20" s="39">
        <v>20</v>
      </c>
      <c r="F20" s="39">
        <v>100</v>
      </c>
      <c r="G20" s="39">
        <v>20</v>
      </c>
      <c r="H20" s="39">
        <v>100</v>
      </c>
      <c r="I20" s="39">
        <f t="shared" si="2"/>
        <v>20</v>
      </c>
      <c r="J20" s="39">
        <v>100</v>
      </c>
      <c r="K20" s="9">
        <v>20</v>
      </c>
      <c r="L20" s="14">
        <v>1</v>
      </c>
      <c r="M20" s="9">
        <v>20</v>
      </c>
      <c r="N20" s="14">
        <v>1</v>
      </c>
      <c r="O20" s="9">
        <v>20</v>
      </c>
      <c r="P20" s="14">
        <v>1</v>
      </c>
    </row>
    <row r="21" spans="1:25" ht="24" customHeight="1" x14ac:dyDescent="0.3">
      <c r="A21" s="14"/>
      <c r="B21" s="27" t="s">
        <v>38</v>
      </c>
      <c r="C21" s="14"/>
      <c r="D21" s="14"/>
      <c r="E21" s="11">
        <f>E16+E17+E18+E19+E20+E15</f>
        <v>100</v>
      </c>
      <c r="F21" s="14"/>
      <c r="G21" s="11">
        <f>G16+G17+G18+G19+G20+G15</f>
        <v>100</v>
      </c>
      <c r="H21" s="14"/>
      <c r="I21" s="11">
        <f>I16+I17+I18+I19+I20+I15</f>
        <v>100.17947939952238</v>
      </c>
      <c r="J21" s="14"/>
      <c r="K21" s="11">
        <f>K16+K17+K18+K19+K20+K15</f>
        <v>100</v>
      </c>
      <c r="L21" s="14"/>
      <c r="M21" s="11">
        <f>M16+M17+M18+M19+M20+M15</f>
        <v>100</v>
      </c>
      <c r="N21" s="14"/>
      <c r="O21" s="11">
        <f>O16+O17+O18+O19+O20+O15</f>
        <v>100</v>
      </c>
      <c r="P21" s="14"/>
    </row>
    <row r="22" spans="1:25" ht="19.5" x14ac:dyDescent="0.3">
      <c r="A22" s="54" t="s">
        <v>57</v>
      </c>
      <c r="B22" s="54"/>
      <c r="C22" s="54"/>
      <c r="D22" s="54"/>
      <c r="E22" s="54"/>
      <c r="F22" s="54"/>
      <c r="G22" s="54"/>
      <c r="H22" s="54"/>
      <c r="I22" s="54"/>
      <c r="J22" s="54"/>
      <c r="K22" s="54"/>
      <c r="L22" s="54"/>
      <c r="M22" s="54"/>
      <c r="N22" s="54"/>
      <c r="O22" s="54"/>
      <c r="P22" s="54"/>
    </row>
    <row r="23" spans="1:25" x14ac:dyDescent="0.3">
      <c r="A23" s="14" t="s">
        <v>24</v>
      </c>
      <c r="B23" s="19" t="s">
        <v>51</v>
      </c>
      <c r="C23" s="2" t="s">
        <v>9</v>
      </c>
      <c r="D23" s="22">
        <v>5882.6799499999997</v>
      </c>
      <c r="E23" s="38">
        <v>10</v>
      </c>
      <c r="F23" s="22">
        <f>H23+L23+P23+N23</f>
        <v>4</v>
      </c>
      <c r="G23" s="38">
        <v>10</v>
      </c>
      <c r="H23" s="22">
        <v>1</v>
      </c>
      <c r="I23" s="22">
        <f t="shared" ref="I23:I30" si="3">J23/H23*G23</f>
        <v>10</v>
      </c>
      <c r="J23" s="22">
        <v>1</v>
      </c>
      <c r="K23" s="9">
        <v>10</v>
      </c>
      <c r="L23" s="22">
        <v>1</v>
      </c>
      <c r="M23" s="9">
        <v>10</v>
      </c>
      <c r="N23" s="22">
        <v>1</v>
      </c>
      <c r="O23" s="9">
        <v>8</v>
      </c>
      <c r="P23" s="22">
        <v>1</v>
      </c>
    </row>
    <row r="24" spans="1:25" ht="25.5" customHeight="1" x14ac:dyDescent="0.3">
      <c r="A24" s="42" t="s">
        <v>25</v>
      </c>
      <c r="B24" s="55" t="s">
        <v>41</v>
      </c>
      <c r="C24" s="14" t="s">
        <v>9</v>
      </c>
      <c r="D24" s="14">
        <v>37</v>
      </c>
      <c r="E24" s="52">
        <v>30</v>
      </c>
      <c r="F24" s="37">
        <v>30</v>
      </c>
      <c r="G24" s="52">
        <v>30</v>
      </c>
      <c r="H24" s="37">
        <v>30</v>
      </c>
      <c r="I24" s="52">
        <f t="shared" si="3"/>
        <v>30</v>
      </c>
      <c r="J24" s="37">
        <v>30</v>
      </c>
      <c r="K24" s="42">
        <v>30</v>
      </c>
      <c r="L24" s="14">
        <v>30</v>
      </c>
      <c r="M24" s="42">
        <v>30</v>
      </c>
      <c r="N24" s="14">
        <v>30</v>
      </c>
      <c r="O24" s="42">
        <v>30</v>
      </c>
      <c r="P24" s="14">
        <v>30</v>
      </c>
    </row>
    <row r="25" spans="1:25" x14ac:dyDescent="0.3">
      <c r="A25" s="43"/>
      <c r="B25" s="56"/>
      <c r="C25" s="14" t="s">
        <v>14</v>
      </c>
      <c r="D25" s="8">
        <v>5.7185649999999999</v>
      </c>
      <c r="E25" s="53"/>
      <c r="F25" s="37">
        <f>H25+L25+N25+P25</f>
        <v>6.0000000000000009</v>
      </c>
      <c r="G25" s="53"/>
      <c r="H25" s="37">
        <v>1.7</v>
      </c>
      <c r="I25" s="53"/>
      <c r="J25" s="37">
        <v>1.7</v>
      </c>
      <c r="K25" s="43"/>
      <c r="L25" s="8">
        <v>1.5</v>
      </c>
      <c r="M25" s="43"/>
      <c r="N25" s="8">
        <v>1.6</v>
      </c>
      <c r="O25" s="43"/>
      <c r="P25" s="8">
        <v>1.2</v>
      </c>
    </row>
    <row r="26" spans="1:25" x14ac:dyDescent="0.3">
      <c r="A26" s="14" t="s">
        <v>26</v>
      </c>
      <c r="B26" s="21" t="s">
        <v>15</v>
      </c>
      <c r="C26" s="14" t="s">
        <v>29</v>
      </c>
      <c r="D26" s="24">
        <f>D27+D28</f>
        <v>3.4389503906249996</v>
      </c>
      <c r="E26" s="38">
        <f>E27+E28</f>
        <v>40</v>
      </c>
      <c r="F26" s="24">
        <f>F27+F28</f>
        <v>3.1644381551362679</v>
      </c>
      <c r="G26" s="38">
        <f>G27+G28</f>
        <v>40</v>
      </c>
      <c r="H26" s="24">
        <f t="shared" ref="H26:P26" si="4">H27+H28</f>
        <v>0.72300209643605873</v>
      </c>
      <c r="I26" s="37">
        <f>I27+I28</f>
        <v>40</v>
      </c>
      <c r="J26" s="24">
        <f>J27+J28</f>
        <v>1.6218032786885248</v>
      </c>
      <c r="K26" s="9">
        <f>K27+K28</f>
        <v>40</v>
      </c>
      <c r="L26" s="24">
        <f t="shared" si="4"/>
        <v>0.81082389937106913</v>
      </c>
      <c r="M26" s="9">
        <f>M27+M28</f>
        <v>40</v>
      </c>
      <c r="N26" s="24">
        <f t="shared" si="4"/>
        <v>0.82820964360587002</v>
      </c>
      <c r="O26" s="9">
        <f>O27+O28</f>
        <v>40</v>
      </c>
      <c r="P26" s="24">
        <f t="shared" si="4"/>
        <v>0.80240251572327037</v>
      </c>
    </row>
    <row r="27" spans="1:25" x14ac:dyDescent="0.3">
      <c r="A27" s="31" t="s">
        <v>48</v>
      </c>
      <c r="B27" s="28" t="s">
        <v>17</v>
      </c>
      <c r="C27" s="14" t="s">
        <v>16</v>
      </c>
      <c r="D27" s="24">
        <f>D25/12.8</f>
        <v>0.44676289062499996</v>
      </c>
      <c r="E27" s="38">
        <v>20</v>
      </c>
      <c r="F27" s="24">
        <f>H27+L27+N27+P27</f>
        <v>0.48099999999999998</v>
      </c>
      <c r="G27" s="38">
        <v>20</v>
      </c>
      <c r="H27" s="24">
        <f>ROUND(H25/12.5,3)</f>
        <v>0.13600000000000001</v>
      </c>
      <c r="I27" s="37">
        <v>20</v>
      </c>
      <c r="J27" s="24">
        <f>1.724/12.2</f>
        <v>0.14131147540983607</v>
      </c>
      <c r="K27" s="9">
        <v>20</v>
      </c>
      <c r="L27" s="24">
        <f>ROUND(L25/12.6,3)</f>
        <v>0.11899999999999999</v>
      </c>
      <c r="M27" s="9">
        <v>20</v>
      </c>
      <c r="N27" s="24">
        <f>ROUND(N25/12.5,3)</f>
        <v>0.128</v>
      </c>
      <c r="O27" s="9">
        <v>20</v>
      </c>
      <c r="P27" s="24">
        <f>ROUND(P25/12.3,3)</f>
        <v>9.8000000000000004E-2</v>
      </c>
    </row>
    <row r="28" spans="1:25" x14ac:dyDescent="0.3">
      <c r="A28" s="26" t="s">
        <v>49</v>
      </c>
      <c r="B28" s="28" t="s">
        <v>18</v>
      </c>
      <c r="C28" s="14" t="s">
        <v>16</v>
      </c>
      <c r="D28" s="24">
        <f>38.3/12.8</f>
        <v>2.9921874999999996</v>
      </c>
      <c r="E28" s="38">
        <v>20</v>
      </c>
      <c r="F28" s="25">
        <f>H28+L28+N28+P28</f>
        <v>2.683438155136268</v>
      </c>
      <c r="G28" s="38">
        <v>20</v>
      </c>
      <c r="H28" s="25">
        <f>7000/11925</f>
        <v>0.58700209643605872</v>
      </c>
      <c r="I28" s="37">
        <v>20</v>
      </c>
      <c r="J28" s="25">
        <f>18.062/12.2</f>
        <v>1.4804918032786887</v>
      </c>
      <c r="K28" s="32">
        <v>20</v>
      </c>
      <c r="L28" s="8">
        <f>8250/11925</f>
        <v>0.69182389937106914</v>
      </c>
      <c r="M28" s="32">
        <v>20</v>
      </c>
      <c r="N28" s="25">
        <f>8350/11925</f>
        <v>0.70020964360587001</v>
      </c>
      <c r="O28" s="32">
        <v>20</v>
      </c>
      <c r="P28" s="25">
        <f>8400/11925</f>
        <v>0.70440251572327039</v>
      </c>
      <c r="W28" s="1">
        <v>32000</v>
      </c>
      <c r="X28" s="1">
        <v>119250</v>
      </c>
      <c r="Y28" s="33">
        <f>W28/X28</f>
        <v>0.26834381551362685</v>
      </c>
    </row>
    <row r="29" spans="1:25" ht="37.5" x14ac:dyDescent="0.3">
      <c r="A29" s="14" t="s">
        <v>27</v>
      </c>
      <c r="B29" s="28" t="s">
        <v>53</v>
      </c>
      <c r="C29" s="14" t="s">
        <v>16</v>
      </c>
      <c r="D29" s="24">
        <f>38.3/12.8</f>
        <v>2.9921874999999996</v>
      </c>
      <c r="E29" s="9"/>
      <c r="F29" s="25"/>
      <c r="G29" s="38"/>
      <c r="H29" s="25"/>
      <c r="I29" s="37" t="s">
        <v>63</v>
      </c>
      <c r="J29" s="25"/>
      <c r="K29" s="32"/>
      <c r="L29" s="25"/>
      <c r="M29" s="32"/>
      <c r="N29" s="25"/>
      <c r="O29" s="32">
        <v>2</v>
      </c>
      <c r="P29" s="25">
        <v>2</v>
      </c>
      <c r="Y29" s="33"/>
    </row>
    <row r="30" spans="1:25" ht="59.25" customHeight="1" x14ac:dyDescent="0.3">
      <c r="A30" s="14" t="s">
        <v>28</v>
      </c>
      <c r="B30" s="21" t="s">
        <v>40</v>
      </c>
      <c r="C30" s="14" t="s">
        <v>9</v>
      </c>
      <c r="D30" s="14">
        <v>4</v>
      </c>
      <c r="E30" s="8">
        <v>20</v>
      </c>
      <c r="F30" s="37">
        <v>100</v>
      </c>
      <c r="G30" s="37">
        <v>20</v>
      </c>
      <c r="H30" s="37">
        <v>100</v>
      </c>
      <c r="I30" s="37">
        <f t="shared" si="3"/>
        <v>20</v>
      </c>
      <c r="J30" s="37">
        <v>100</v>
      </c>
      <c r="K30" s="14">
        <v>20</v>
      </c>
      <c r="L30" s="14">
        <v>1</v>
      </c>
      <c r="M30" s="14">
        <v>20</v>
      </c>
      <c r="N30" s="14">
        <v>1</v>
      </c>
      <c r="O30" s="14">
        <v>20</v>
      </c>
      <c r="P30" s="14">
        <v>1</v>
      </c>
    </row>
    <row r="31" spans="1:25" ht="26.25" customHeight="1" x14ac:dyDescent="0.3">
      <c r="A31" s="14"/>
      <c r="B31" s="27" t="s">
        <v>38</v>
      </c>
      <c r="C31" s="14"/>
      <c r="D31" s="14"/>
      <c r="E31" s="11">
        <f>E24+E26+E30+E23</f>
        <v>100</v>
      </c>
      <c r="F31" s="14"/>
      <c r="G31" s="11">
        <f>G24+G26+G30+G23</f>
        <v>100</v>
      </c>
      <c r="H31" s="14"/>
      <c r="I31" s="11">
        <f>I24+I26+I30+I23</f>
        <v>100</v>
      </c>
      <c r="J31" s="14"/>
      <c r="K31" s="11">
        <f>K24+K26+K30+K23</f>
        <v>100</v>
      </c>
      <c r="L31" s="14"/>
      <c r="M31" s="11">
        <f>M24+M26+M30+M23</f>
        <v>100</v>
      </c>
      <c r="N31" s="14"/>
      <c r="O31" s="11">
        <f>O24+O26+O30+O23+O29</f>
        <v>100</v>
      </c>
      <c r="P31" s="14"/>
      <c r="R31" s="1">
        <f>F33/F10*H10</f>
        <v>6384.0035438596487</v>
      </c>
    </row>
    <row r="32" spans="1:25" x14ac:dyDescent="0.3">
      <c r="A32" s="44" t="s">
        <v>56</v>
      </c>
      <c r="B32" s="44"/>
      <c r="C32" s="44"/>
      <c r="D32" s="44"/>
      <c r="E32" s="44"/>
      <c r="F32" s="44"/>
      <c r="G32" s="44"/>
      <c r="H32" s="44"/>
      <c r="I32" s="44"/>
      <c r="J32" s="44"/>
      <c r="K32" s="44"/>
      <c r="L32" s="44"/>
      <c r="M32" s="44"/>
      <c r="N32" s="44"/>
      <c r="O32" s="44"/>
      <c r="P32" s="44"/>
    </row>
    <row r="33" spans="1:18" x14ac:dyDescent="0.3">
      <c r="A33" s="2" t="s">
        <v>24</v>
      </c>
      <c r="B33" s="19" t="s">
        <v>10</v>
      </c>
      <c r="C33" s="2" t="s">
        <v>45</v>
      </c>
      <c r="D33" s="15">
        <v>28099.576300000001</v>
      </c>
      <c r="E33" s="38">
        <v>20</v>
      </c>
      <c r="F33" s="78">
        <f>H33+L33+N33+P33</f>
        <v>36367</v>
      </c>
      <c r="G33" s="38">
        <v>20</v>
      </c>
      <c r="H33" s="38">
        <v>8627.5</v>
      </c>
      <c r="I33" s="38">
        <f t="shared" ref="I33:I37" si="5">J33/H33*G33</f>
        <v>16.028251521298174</v>
      </c>
      <c r="J33" s="38">
        <v>6914.1869999999999</v>
      </c>
      <c r="K33" s="9">
        <v>20</v>
      </c>
      <c r="L33" s="15">
        <v>9569.5</v>
      </c>
      <c r="M33" s="9">
        <v>20</v>
      </c>
      <c r="N33" s="15">
        <v>9414.5</v>
      </c>
      <c r="O33" s="9">
        <v>20</v>
      </c>
      <c r="P33" s="15">
        <v>8755.5</v>
      </c>
    </row>
    <row r="34" spans="1:18" x14ac:dyDescent="0.3">
      <c r="A34" s="2" t="s">
        <v>25</v>
      </c>
      <c r="B34" s="19" t="s">
        <v>8</v>
      </c>
      <c r="C34" s="2" t="s">
        <v>23</v>
      </c>
      <c r="D34" s="15">
        <v>6765.9422400000003</v>
      </c>
      <c r="E34" s="38">
        <v>20</v>
      </c>
      <c r="F34" s="78">
        <f>H34+L34+P34+N34</f>
        <v>5700</v>
      </c>
      <c r="G34" s="38">
        <v>20</v>
      </c>
      <c r="H34" s="38">
        <f>H10</f>
        <v>1000.6</v>
      </c>
      <c r="I34" s="38">
        <f t="shared" si="5"/>
        <v>20.00591645012992</v>
      </c>
      <c r="J34" s="38">
        <f>J10</f>
        <v>1000.896</v>
      </c>
      <c r="K34" s="9">
        <v>20</v>
      </c>
      <c r="L34" s="22">
        <f>L10</f>
        <v>1429.9</v>
      </c>
      <c r="M34" s="9">
        <v>20</v>
      </c>
      <c r="N34" s="22">
        <f>N10</f>
        <v>1882.4</v>
      </c>
      <c r="O34" s="9">
        <v>20</v>
      </c>
      <c r="P34" s="22">
        <f>P10</f>
        <v>1387.1</v>
      </c>
    </row>
    <row r="35" spans="1:18" x14ac:dyDescent="0.3">
      <c r="A35" s="2" t="s">
        <v>26</v>
      </c>
      <c r="B35" s="19" t="s">
        <v>54</v>
      </c>
      <c r="C35" s="2" t="s">
        <v>35</v>
      </c>
      <c r="D35" s="15">
        <v>18221.099999999999</v>
      </c>
      <c r="E35" s="38">
        <v>20</v>
      </c>
      <c r="F35" s="78">
        <f>H35+L35+P35+N35</f>
        <v>16460.099999999999</v>
      </c>
      <c r="G35" s="38">
        <v>20</v>
      </c>
      <c r="H35" s="38">
        <v>4089.9</v>
      </c>
      <c r="I35" s="38">
        <f t="shared" si="5"/>
        <v>19.478720227179846</v>
      </c>
      <c r="J35" s="38">
        <v>3983.3008928571426</v>
      </c>
      <c r="K35" s="9">
        <v>20</v>
      </c>
      <c r="L35" s="22">
        <v>4112.5</v>
      </c>
      <c r="M35" s="9">
        <v>20</v>
      </c>
      <c r="N35" s="22">
        <v>4136.3999999999996</v>
      </c>
      <c r="O35" s="9">
        <v>20</v>
      </c>
      <c r="P35" s="22">
        <v>4121.3</v>
      </c>
    </row>
    <row r="36" spans="1:18" ht="18.75" customHeight="1" x14ac:dyDescent="0.3">
      <c r="A36" s="2" t="s">
        <v>27</v>
      </c>
      <c r="B36" s="21" t="s">
        <v>36</v>
      </c>
      <c r="C36" s="14" t="s">
        <v>37</v>
      </c>
      <c r="D36" s="15">
        <v>1399.85</v>
      </c>
      <c r="E36" s="38">
        <v>20</v>
      </c>
      <c r="F36" s="78">
        <f>H36+L36+N36+P36</f>
        <v>1200</v>
      </c>
      <c r="G36" s="38">
        <v>20</v>
      </c>
      <c r="H36" s="38">
        <v>300</v>
      </c>
      <c r="I36" s="38">
        <v>20</v>
      </c>
      <c r="J36" s="38">
        <v>339.02699999999999</v>
      </c>
      <c r="K36" s="9">
        <v>20</v>
      </c>
      <c r="L36" s="15">
        <v>350</v>
      </c>
      <c r="M36" s="9">
        <v>20</v>
      </c>
      <c r="N36" s="15">
        <v>300</v>
      </c>
      <c r="O36" s="9">
        <v>20</v>
      </c>
      <c r="P36" s="15">
        <v>250</v>
      </c>
    </row>
    <row r="37" spans="1:18" ht="56.25" x14ac:dyDescent="0.3">
      <c r="A37" s="2" t="s">
        <v>28</v>
      </c>
      <c r="B37" s="19" t="s">
        <v>12</v>
      </c>
      <c r="C37" s="2" t="s">
        <v>9</v>
      </c>
      <c r="D37" s="14">
        <v>4</v>
      </c>
      <c r="E37" s="37">
        <v>20</v>
      </c>
      <c r="F37" s="78">
        <v>100</v>
      </c>
      <c r="G37" s="78">
        <v>20</v>
      </c>
      <c r="H37" s="38">
        <v>100</v>
      </c>
      <c r="I37" s="78">
        <f t="shared" si="5"/>
        <v>20</v>
      </c>
      <c r="J37" s="38">
        <v>100</v>
      </c>
      <c r="K37" s="7">
        <v>20</v>
      </c>
      <c r="L37" s="14">
        <v>1</v>
      </c>
      <c r="M37" s="7">
        <v>20</v>
      </c>
      <c r="N37" s="14">
        <v>1</v>
      </c>
      <c r="O37" s="7">
        <v>20</v>
      </c>
      <c r="P37" s="14">
        <v>1</v>
      </c>
      <c r="R37" s="18">
        <f>H37+L37+N37+P37</f>
        <v>103</v>
      </c>
    </row>
    <row r="38" spans="1:18" x14ac:dyDescent="0.3">
      <c r="A38" s="3"/>
      <c r="B38" s="20" t="s">
        <v>38</v>
      </c>
      <c r="C38" s="3"/>
      <c r="D38" s="3"/>
      <c r="E38" s="12">
        <f>E33+E34+E35+E37+E36</f>
        <v>100</v>
      </c>
      <c r="F38" s="30"/>
      <c r="G38" s="12">
        <f>G33+G34+G35+G37+G36</f>
        <v>100</v>
      </c>
      <c r="H38" s="30"/>
      <c r="I38" s="12">
        <f>I33+I34+I35+I37+I36</f>
        <v>95.512888198607939</v>
      </c>
      <c r="J38" s="30"/>
      <c r="K38" s="12">
        <f>K33+K34+K35+K37+K36</f>
        <v>100</v>
      </c>
      <c r="L38" s="30"/>
      <c r="M38" s="12">
        <f>M33+M34+M35+M37+M36</f>
        <v>100</v>
      </c>
      <c r="N38" s="30"/>
      <c r="O38" s="12">
        <f>O33+O34+O35+O37+O36</f>
        <v>100</v>
      </c>
      <c r="P38" s="30"/>
    </row>
    <row r="39" spans="1:18" x14ac:dyDescent="0.3">
      <c r="A39" s="44" t="s">
        <v>62</v>
      </c>
      <c r="B39" s="44"/>
      <c r="C39" s="44"/>
      <c r="D39" s="44"/>
      <c r="E39" s="44"/>
      <c r="F39" s="44"/>
      <c r="G39" s="44"/>
      <c r="H39" s="44"/>
      <c r="I39" s="44"/>
      <c r="J39" s="44"/>
      <c r="K39" s="44"/>
      <c r="L39" s="44"/>
      <c r="M39" s="44"/>
      <c r="N39" s="44"/>
      <c r="O39" s="44"/>
      <c r="P39" s="44"/>
    </row>
    <row r="40" spans="1:18" x14ac:dyDescent="0.3">
      <c r="A40" s="14" t="s">
        <v>24</v>
      </c>
      <c r="B40" s="29" t="s">
        <v>21</v>
      </c>
      <c r="C40" s="14" t="s">
        <v>19</v>
      </c>
      <c r="D40" s="7">
        <v>1141</v>
      </c>
      <c r="E40" s="38">
        <v>20</v>
      </c>
      <c r="F40" s="22">
        <f>H40+L40+N40+P40</f>
        <v>1153</v>
      </c>
      <c r="G40" s="38">
        <v>20</v>
      </c>
      <c r="H40" s="37">
        <v>264</v>
      </c>
      <c r="I40" s="37">
        <f t="shared" ref="I40:I44" si="6">J40/H40*G40</f>
        <v>20</v>
      </c>
      <c r="J40" s="37">
        <v>264</v>
      </c>
      <c r="K40" s="9">
        <v>20</v>
      </c>
      <c r="L40" s="7">
        <v>402</v>
      </c>
      <c r="M40" s="9">
        <v>20</v>
      </c>
      <c r="N40" s="7">
        <v>262</v>
      </c>
      <c r="O40" s="9">
        <v>20</v>
      </c>
      <c r="P40" s="7">
        <v>225</v>
      </c>
    </row>
    <row r="41" spans="1:18" x14ac:dyDescent="0.3">
      <c r="A41" s="14" t="s">
        <v>25</v>
      </c>
      <c r="B41" s="29" t="s">
        <v>11</v>
      </c>
      <c r="C41" s="14" t="s">
        <v>19</v>
      </c>
      <c r="D41" s="7">
        <v>85</v>
      </c>
      <c r="E41" s="38">
        <v>20</v>
      </c>
      <c r="F41" s="22">
        <f>H41+L41+N41+P41</f>
        <v>58</v>
      </c>
      <c r="G41" s="38">
        <v>20</v>
      </c>
      <c r="H41" s="37">
        <v>13</v>
      </c>
      <c r="I41" s="37">
        <f t="shared" si="6"/>
        <v>20</v>
      </c>
      <c r="J41" s="37">
        <v>13</v>
      </c>
      <c r="K41" s="9">
        <v>20</v>
      </c>
      <c r="L41" s="7">
        <v>15</v>
      </c>
      <c r="M41" s="9">
        <v>20</v>
      </c>
      <c r="N41" s="7">
        <v>16</v>
      </c>
      <c r="O41" s="9">
        <v>20</v>
      </c>
      <c r="P41" s="7">
        <v>14</v>
      </c>
    </row>
    <row r="42" spans="1:18" ht="37.5" x14ac:dyDescent="0.3">
      <c r="A42" s="14" t="s">
        <v>26</v>
      </c>
      <c r="B42" s="21" t="s">
        <v>34</v>
      </c>
      <c r="C42" s="14" t="s">
        <v>9</v>
      </c>
      <c r="D42" s="7">
        <v>36</v>
      </c>
      <c r="E42" s="38">
        <v>20</v>
      </c>
      <c r="F42" s="22">
        <f>H42+L42+N42+P42</f>
        <v>24</v>
      </c>
      <c r="G42" s="38">
        <v>20</v>
      </c>
      <c r="H42" s="37">
        <v>6</v>
      </c>
      <c r="I42" s="37">
        <f t="shared" si="6"/>
        <v>20</v>
      </c>
      <c r="J42" s="37">
        <v>6</v>
      </c>
      <c r="K42" s="9">
        <v>20</v>
      </c>
      <c r="L42" s="7">
        <v>6</v>
      </c>
      <c r="M42" s="9">
        <v>20</v>
      </c>
      <c r="N42" s="7">
        <v>6</v>
      </c>
      <c r="O42" s="9">
        <v>20</v>
      </c>
      <c r="P42" s="7">
        <v>6</v>
      </c>
    </row>
    <row r="43" spans="1:18" ht="150" x14ac:dyDescent="0.3">
      <c r="A43" s="14" t="s">
        <v>27</v>
      </c>
      <c r="B43" s="21" t="s">
        <v>55</v>
      </c>
      <c r="C43" s="14" t="s">
        <v>9</v>
      </c>
      <c r="D43" s="7"/>
      <c r="E43" s="38">
        <v>20</v>
      </c>
      <c r="F43" s="22">
        <f>H43+L43+N43+P43</f>
        <v>85</v>
      </c>
      <c r="G43" s="38">
        <v>20</v>
      </c>
      <c r="H43" s="37">
        <v>25</v>
      </c>
      <c r="I43" s="37">
        <f>J43/H43*G43</f>
        <v>16</v>
      </c>
      <c r="J43" s="37">
        <v>20</v>
      </c>
      <c r="K43" s="9">
        <v>20</v>
      </c>
      <c r="L43" s="7">
        <v>20</v>
      </c>
      <c r="M43" s="9">
        <v>20</v>
      </c>
      <c r="N43" s="7">
        <v>20</v>
      </c>
      <c r="O43" s="9">
        <v>20</v>
      </c>
      <c r="P43" s="7">
        <v>20</v>
      </c>
    </row>
    <row r="44" spans="1:18" ht="56.25" x14ac:dyDescent="0.3">
      <c r="A44" s="14" t="s">
        <v>28</v>
      </c>
      <c r="B44" s="21" t="s">
        <v>12</v>
      </c>
      <c r="C44" s="14" t="s">
        <v>9</v>
      </c>
      <c r="D44" s="14">
        <v>4</v>
      </c>
      <c r="E44" s="38">
        <v>20</v>
      </c>
      <c r="F44" s="37">
        <v>100</v>
      </c>
      <c r="G44" s="38">
        <v>20</v>
      </c>
      <c r="H44" s="37">
        <v>100</v>
      </c>
      <c r="I44" s="37">
        <f t="shared" si="6"/>
        <v>20</v>
      </c>
      <c r="J44" s="37">
        <v>100</v>
      </c>
      <c r="K44" s="9">
        <v>20</v>
      </c>
      <c r="L44" s="14">
        <v>1</v>
      </c>
      <c r="M44" s="9">
        <v>20</v>
      </c>
      <c r="N44" s="14">
        <v>1</v>
      </c>
      <c r="O44" s="9">
        <v>20</v>
      </c>
      <c r="P44" s="14">
        <v>1</v>
      </c>
    </row>
    <row r="45" spans="1:18" ht="23.25" customHeight="1" x14ac:dyDescent="0.3">
      <c r="A45" s="3"/>
      <c r="B45" s="20" t="s">
        <v>38</v>
      </c>
      <c r="C45" s="3"/>
      <c r="D45" s="3"/>
      <c r="E45" s="13">
        <f>E40+E41+E42+E44+E43</f>
        <v>100</v>
      </c>
      <c r="F45" s="3"/>
      <c r="G45" s="13">
        <f>G40+G41+G42+G44+G43</f>
        <v>100</v>
      </c>
      <c r="H45" s="3"/>
      <c r="I45" s="13">
        <f>I40+I41+I42+I44+I43</f>
        <v>96</v>
      </c>
      <c r="J45" s="3"/>
      <c r="K45" s="13">
        <f>K40+K41+K42+K44+K43</f>
        <v>100</v>
      </c>
      <c r="L45" s="3"/>
      <c r="M45" s="13">
        <f>M40+M41+M42+M44+M43</f>
        <v>100</v>
      </c>
      <c r="N45" s="3"/>
      <c r="O45" s="13">
        <f>O40+O41+O42+O44+O43</f>
        <v>100</v>
      </c>
      <c r="P45" s="3"/>
    </row>
    <row r="47" spans="1:18" ht="37.5" x14ac:dyDescent="0.3">
      <c r="B47" s="36" t="s">
        <v>59</v>
      </c>
      <c r="G47" s="47" t="s">
        <v>60</v>
      </c>
      <c r="H47" s="47"/>
      <c r="I47" s="47"/>
    </row>
    <row r="48" spans="1:18" x14ac:dyDescent="0.3">
      <c r="B48" s="35"/>
    </row>
  </sheetData>
  <mergeCells count="33">
    <mergeCell ref="A7:P7"/>
    <mergeCell ref="A2:P2"/>
    <mergeCell ref="A4:A6"/>
    <mergeCell ref="B4:B6"/>
    <mergeCell ref="C4:C6"/>
    <mergeCell ref="E4:F5"/>
    <mergeCell ref="G4:P4"/>
    <mergeCell ref="K5:L5"/>
    <mergeCell ref="M5:N5"/>
    <mergeCell ref="O5:P5"/>
    <mergeCell ref="D4:D6"/>
    <mergeCell ref="G5:J5"/>
    <mergeCell ref="G24:G25"/>
    <mergeCell ref="A18:A19"/>
    <mergeCell ref="M24:M25"/>
    <mergeCell ref="O18:O19"/>
    <mergeCell ref="I18:I19"/>
    <mergeCell ref="K24:K25"/>
    <mergeCell ref="A14:P14"/>
    <mergeCell ref="M18:M19"/>
    <mergeCell ref="G47:I47"/>
    <mergeCell ref="A39:P39"/>
    <mergeCell ref="O24:O25"/>
    <mergeCell ref="A32:P32"/>
    <mergeCell ref="B18:B19"/>
    <mergeCell ref="E18:E19"/>
    <mergeCell ref="I24:I25"/>
    <mergeCell ref="G18:G19"/>
    <mergeCell ref="K18:K19"/>
    <mergeCell ref="A22:P22"/>
    <mergeCell ref="A24:A25"/>
    <mergeCell ref="B24:B25"/>
    <mergeCell ref="E24:E25"/>
  </mergeCells>
  <printOptions horizontalCentered="1"/>
  <pageMargins left="0.31496062992125984" right="0.51181102362204722" top="0.55118110236220474" bottom="0.55118110236220474" header="0.31496062992125984" footer="0.31496062992125984"/>
  <pageSetup paperSize="9" scale="5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КПЭ 2026 свод (20.01.)</vt:lpstr>
      <vt:lpstr>'КПЭ 2026 свод (20.01.)'!Область_печати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2026-04-29T06:28:13Z</dcterms:modified>
</cp:coreProperties>
</file>