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6219E32-F6AF-4169-9DB6-51AD3303D6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2" sheetId="2" r:id="rId1"/>
  </sheets>
  <definedNames>
    <definedName name="_xlnm._FilterDatabase" localSheetId="0" hidden="1">Лист2!$A$5:$N$103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9" i="2" l="1"/>
  <c r="L6" i="2" s="1"/>
  <c r="K9" i="2"/>
  <c r="M101" i="2"/>
  <c r="L61" i="2"/>
  <c r="K61" i="2"/>
  <c r="L17" i="2"/>
  <c r="K17" i="2"/>
  <c r="L48" i="2"/>
  <c r="K48" i="2"/>
  <c r="L10" i="2"/>
  <c r="K10" i="2"/>
  <c r="L39" i="2"/>
  <c r="K39" i="2"/>
  <c r="L14" i="2"/>
  <c r="K14" i="2"/>
  <c r="L72" i="2"/>
  <c r="K72" i="2"/>
  <c r="M100" i="2"/>
  <c r="M99" i="2"/>
  <c r="M98" i="2"/>
  <c r="L45" i="2"/>
  <c r="K45" i="2"/>
  <c r="L36" i="2"/>
  <c r="K36" i="2"/>
  <c r="L8" i="2"/>
  <c r="K8" i="2"/>
  <c r="L25" i="2"/>
  <c r="K25" i="2"/>
  <c r="L89" i="2" l="1"/>
  <c r="L22" i="2"/>
  <c r="K22" i="2"/>
  <c r="L7" i="2"/>
  <c r="K7" i="2"/>
  <c r="K89" i="2"/>
  <c r="L29" i="2"/>
  <c r="K29" i="2"/>
  <c r="L86" i="2"/>
  <c r="K86" i="2"/>
  <c r="L68" i="2"/>
  <c r="K68" i="2"/>
  <c r="L67" i="2"/>
  <c r="K67" i="2"/>
  <c r="K93" i="2"/>
  <c r="M97" i="2"/>
  <c r="M96" i="2"/>
  <c r="M95" i="2"/>
  <c r="M94" i="2"/>
  <c r="M93" i="2"/>
  <c r="M92" i="2"/>
  <c r="M91" i="2"/>
  <c r="L18" i="2" l="1"/>
  <c r="K18" i="2"/>
  <c r="L19" i="2"/>
  <c r="K19" i="2"/>
  <c r="L60" i="2" l="1"/>
  <c r="K60" i="2"/>
  <c r="L13" i="2"/>
  <c r="K13" i="2"/>
  <c r="L12" i="2"/>
  <c r="K12" i="2"/>
  <c r="M90" i="2"/>
  <c r="M89" i="2"/>
  <c r="M88" i="2"/>
  <c r="M87" i="2"/>
  <c r="M86" i="2"/>
  <c r="M85" i="2"/>
  <c r="M84" i="2"/>
  <c r="L76" i="2" l="1"/>
  <c r="K76" i="2"/>
  <c r="L16" i="2"/>
  <c r="K16" i="2"/>
  <c r="L74" i="2"/>
  <c r="M74" i="2" s="1"/>
  <c r="K74" i="2"/>
  <c r="L73" i="2"/>
  <c r="M73" i="2" s="1"/>
  <c r="K73" i="2"/>
  <c r="L71" i="2"/>
  <c r="K71" i="2"/>
  <c r="L50" i="2"/>
  <c r="K50" i="2"/>
  <c r="L32" i="2"/>
  <c r="K32" i="2"/>
  <c r="M83" i="2"/>
  <c r="M82" i="2"/>
  <c r="M81" i="2"/>
  <c r="M80" i="2"/>
  <c r="M79" i="2"/>
  <c r="K11" i="2"/>
  <c r="L11" i="2"/>
  <c r="L58" i="2"/>
  <c r="K58" i="2"/>
  <c r="M78" i="2"/>
  <c r="M77" i="2"/>
  <c r="M76" i="2"/>
  <c r="M75" i="2"/>
  <c r="M72" i="2"/>
  <c r="L37" i="2" l="1"/>
  <c r="K37" i="2"/>
  <c r="L30" i="2" l="1"/>
  <c r="K30" i="2"/>
  <c r="L47" i="2"/>
  <c r="K47" i="2"/>
  <c r="L15" i="2"/>
  <c r="K15" i="2"/>
  <c r="M62" i="2"/>
  <c r="M63" i="2"/>
  <c r="M64" i="2"/>
  <c r="M65" i="2"/>
  <c r="M66" i="2"/>
  <c r="M67" i="2"/>
  <c r="M68" i="2"/>
  <c r="M69" i="2"/>
  <c r="M70" i="2"/>
  <c r="M71" i="2"/>
  <c r="M61" i="2"/>
  <c r="M60" i="2"/>
  <c r="M59" i="2"/>
  <c r="M58" i="2"/>
  <c r="M57" i="2"/>
  <c r="L56" i="2"/>
  <c r="M56" i="2" s="1"/>
  <c r="K56" i="2"/>
  <c r="L55" i="2"/>
  <c r="M55" i="2" s="1"/>
  <c r="K55" i="2"/>
  <c r="L54" i="2"/>
  <c r="M54" i="2" s="1"/>
  <c r="K54" i="2"/>
  <c r="M53" i="2"/>
  <c r="L52" i="2"/>
  <c r="M52" i="2" s="1"/>
  <c r="K52" i="2"/>
  <c r="M51" i="2"/>
  <c r="L34" i="2" l="1"/>
  <c r="M34" i="2" s="1"/>
  <c r="K34" i="2"/>
  <c r="J34" i="2"/>
  <c r="L33" i="2"/>
  <c r="M33" i="2" s="1"/>
  <c r="K33" i="2"/>
  <c r="M49" i="2"/>
  <c r="M48" i="2"/>
  <c r="M47" i="2"/>
  <c r="J46" i="2"/>
  <c r="J50" i="2"/>
  <c r="M46" i="2"/>
  <c r="M50" i="2"/>
  <c r="J42" i="2"/>
  <c r="J43" i="2"/>
  <c r="J44" i="2"/>
  <c r="J45" i="2"/>
  <c r="M45" i="2"/>
  <c r="M44" i="2"/>
  <c r="M43" i="2"/>
  <c r="M42" i="2"/>
  <c r="J35" i="2"/>
  <c r="J36" i="2"/>
  <c r="J37" i="2"/>
  <c r="J38" i="2"/>
  <c r="J39" i="2"/>
  <c r="J40" i="2"/>
  <c r="J41" i="2"/>
  <c r="M41" i="2"/>
  <c r="M40" i="2"/>
  <c r="M39" i="2"/>
  <c r="M38" i="2"/>
  <c r="L28" i="2"/>
  <c r="K28" i="2"/>
  <c r="M37" i="2"/>
  <c r="M36" i="2"/>
  <c r="M35" i="2"/>
  <c r="J33" i="2"/>
  <c r="J7" i="2" l="1"/>
  <c r="J9" i="2"/>
  <c r="J8" i="2"/>
  <c r="J32" i="2" l="1"/>
  <c r="M32" i="2"/>
  <c r="L31" i="2" l="1"/>
  <c r="K31" i="2"/>
  <c r="J24" i="2"/>
  <c r="J25" i="2"/>
  <c r="J26" i="2"/>
  <c r="J27" i="2"/>
  <c r="J28" i="2"/>
  <c r="J29" i="2"/>
  <c r="J30" i="2"/>
  <c r="J31" i="2"/>
  <c r="J23" i="2"/>
  <c r="M31" i="2" l="1"/>
  <c r="M30" i="2"/>
  <c r="M29" i="2"/>
  <c r="M28" i="2"/>
  <c r="M27" i="2"/>
  <c r="M26" i="2"/>
  <c r="M25" i="2"/>
  <c r="M24" i="2"/>
  <c r="M23" i="2"/>
  <c r="I6" i="2"/>
  <c r="J18" i="2"/>
  <c r="M22" i="2"/>
  <c r="J22" i="2"/>
  <c r="M21" i="2"/>
  <c r="J21" i="2"/>
  <c r="M20" i="2"/>
  <c r="J20" i="2"/>
  <c r="M19" i="2"/>
  <c r="J19" i="2"/>
  <c r="M18" i="2"/>
  <c r="M17" i="2"/>
  <c r="J17" i="2"/>
  <c r="J16" i="2"/>
  <c r="M15" i="2"/>
  <c r="J15" i="2"/>
  <c r="M14" i="2"/>
  <c r="J14" i="2"/>
  <c r="M13" i="2"/>
  <c r="J13" i="2"/>
  <c r="M12" i="2"/>
  <c r="J12" i="2"/>
  <c r="M11" i="2"/>
  <c r="J11" i="2"/>
  <c r="M10" i="2"/>
  <c r="J10" i="2"/>
  <c r="H10" i="2"/>
  <c r="M9" i="2"/>
  <c r="M6" i="2" s="1"/>
  <c r="M8" i="2"/>
  <c r="M7" i="2"/>
  <c r="M16" i="2" l="1"/>
  <c r="J6" i="2"/>
</calcChain>
</file>

<file path=xl/sharedStrings.xml><?xml version="1.0" encoding="utf-8"?>
<sst xmlns="http://schemas.openxmlformats.org/spreadsheetml/2006/main" count="590" uniqueCount="250">
  <si>
    <t>№</t>
  </si>
  <si>
    <t>Маҳсулот номи</t>
  </si>
  <si>
    <t>Маҳсулотларни салоҳиятли ишлаб чиқарувчилари ҳамда етказиб берувчилар</t>
  </si>
  <si>
    <t>Ўлчов
бирлиги</t>
  </si>
  <si>
    <t>Харид қилинган  платформа номи</t>
  </si>
  <si>
    <t>Ишлаб чиқарувчилар</t>
  </si>
  <si>
    <t>Етказиб берувчилар</t>
  </si>
  <si>
    <t>Миқдори</t>
  </si>
  <si>
    <r>
      <t xml:space="preserve">Қиймати </t>
    </r>
    <r>
      <rPr>
        <b/>
        <i/>
        <sz val="14"/>
        <rFont val="Times New Roman"/>
        <family val="1"/>
        <charset val="204"/>
      </rPr>
      <t>(млн. сўм)</t>
    </r>
  </si>
  <si>
    <r>
      <t xml:space="preserve">Импорт ўрнини босиш самарадор-лиги
</t>
    </r>
    <r>
      <rPr>
        <b/>
        <i/>
        <sz val="14"/>
        <rFont val="Times New Roman"/>
        <family val="1"/>
        <charset val="204"/>
      </rPr>
      <t>(минг долл)</t>
    </r>
  </si>
  <si>
    <t>Корхона номи</t>
  </si>
  <si>
    <t>Жойлашган ҳудуди</t>
  </si>
  <si>
    <t>ИНН</t>
  </si>
  <si>
    <t>Жами:</t>
  </si>
  <si>
    <t>Турли ўлчамдаги подшипниклар</t>
  </si>
  <si>
    <t>Тошкент шаҳри</t>
  </si>
  <si>
    <t>дона</t>
  </si>
  <si>
    <t>new.cooperation.uz</t>
  </si>
  <si>
    <t>Турли ўлчамдаги юқори босимли шланглар</t>
  </si>
  <si>
    <t>HYDRO COMPONENT MCHJ</t>
  </si>
  <si>
    <t>QUYOSHCHA-NURI MCHJ</t>
  </si>
  <si>
    <t>Тошкент вилояти, Ангрен шаҳри</t>
  </si>
  <si>
    <t>кг</t>
  </si>
  <si>
    <t>Портлатиш мосламаси (ВВ) 1 класса (МАНФО-0)</t>
  </si>
  <si>
    <t>MAXAM UZBEKISTAN MCHJ QK</t>
  </si>
  <si>
    <t>Тошкент вилояти, Олмалиқ шаҳри</t>
  </si>
  <si>
    <t>тн</t>
  </si>
  <si>
    <t>Турли ҳил аккумулятор батареялари</t>
  </si>
  <si>
    <t>AZIYA FAVORIT PLYUS MCHJ, BATTERY TECHNOLOGY MCHJ</t>
  </si>
  <si>
    <t>Тошкент тумани</t>
  </si>
  <si>
    <t>Пленка полиэтиленовая гидроизоляционная</t>
  </si>
  <si>
    <t>POLIMER GALANTERY XK</t>
  </si>
  <si>
    <t>Гранулит портлатиш воситаси</t>
  </si>
  <si>
    <t>FIRALIT MCHJ  QO`SHMA KORXONA</t>
  </si>
  <si>
    <t>"CARBON POLYMER" МЧЖ</t>
  </si>
  <si>
    <t>Электрографит чўткалар</t>
  </si>
  <si>
    <t>METAL METIZ INDUSTRY GROUP MCHJ, QUYOSHCHA-NURI MCHJ</t>
  </si>
  <si>
    <t>Сут махсулотлари (қаттиқ 2,5 %, 500 мл)</t>
  </si>
  <si>
    <t>шт</t>
  </si>
  <si>
    <t>BASD MCHJ</t>
  </si>
  <si>
    <t>л</t>
  </si>
  <si>
    <t>EXPO KABEL MCHJ</t>
  </si>
  <si>
    <t>UZ KABEL MCHJ</t>
  </si>
  <si>
    <t>м</t>
  </si>
  <si>
    <t>QUYOSHCHA-NURI MCHJ, METAL METIZ INDUSTRY GROUP MCHJ</t>
  </si>
  <si>
    <t>Ковш тишлари турли ўлчамдаги</t>
  </si>
  <si>
    <t>Тошкент вилояти</t>
  </si>
  <si>
    <t>Турли ўлчамдаги кабель маҳсулотлари</t>
  </si>
  <si>
    <t>TRANS ATLANTIC OIL MCHJ</t>
  </si>
  <si>
    <t>STANDARD OIL INDUSTRY MCHJ</t>
  </si>
  <si>
    <t>QUVVAT MCHJ</t>
  </si>
  <si>
    <t>Модем ва сув хисоблагичи</t>
  </si>
  <si>
    <t>M-CITY MCHJ</t>
  </si>
  <si>
    <t>Тошкент вилоят, Чирчиқ шаҳар</t>
  </si>
  <si>
    <t xml:space="preserve"> Литол-24 мойлаш маетриали, смазка 1-13</t>
  </si>
  <si>
    <t>Солидол мойлаш материали, Графит мойлаш материали</t>
  </si>
  <si>
    <t>Қора ва рангли метллар</t>
  </si>
  <si>
    <t>"O'zmetkombanat" AJ, Toshkent quvur zavodi" MCHJ</t>
  </si>
  <si>
    <t>HLP-46 гидравлик мойи</t>
  </si>
  <si>
    <t>И-20 индустриал мойи</t>
  </si>
  <si>
    <t>MONOLITH ASIA MCHJ XK</t>
  </si>
  <si>
    <t>Электроды сварочные д.4 мм УОНИ</t>
  </si>
  <si>
    <t>BASD MCHJ, PREMIUM GOLD OIL STAR MCHJ</t>
  </si>
  <si>
    <t>200802278   304118022</t>
  </si>
  <si>
    <t>Харидлар бошқармаси бошлиғи                                                                                                             А.С.Эгамбердиев</t>
  </si>
  <si>
    <t>Тошкент вилоят, Тошкент шаҳар</t>
  </si>
  <si>
    <t>"INJENER TEXNOLOG GROUP" MCHJ</t>
  </si>
  <si>
    <t>Навоий шаҳри</t>
  </si>
  <si>
    <t>"STM COLOR" MCHJ</t>
  </si>
  <si>
    <t>ISLOM KARIMOV NOMIDAGI TOSHKENT DAVLAT TEXNIKA UNIVERSITETI DM</t>
  </si>
  <si>
    <t>LOYIHA GEOLOGIYA ILMIY TADQIQOT BYUROSI MCHJ</t>
  </si>
  <si>
    <t>MEXR VODIYSI MCHJ</t>
  </si>
  <si>
    <t>Нитро эмаль бўёғи НЦ-132 П</t>
  </si>
  <si>
    <t>Ишчи лойиҳаларни ишлаб чиқиш хизмати</t>
  </si>
  <si>
    <t>Ташкилотларда иш юритиш ва архив ишлари бўйича меъёрий ҳужжатларни ишлаб чиқиш хизмати</t>
  </si>
  <si>
    <t>SARGON OIL MCHJ</t>
  </si>
  <si>
    <t>Трансмиссия мойи SAE-140</t>
  </si>
  <si>
    <t>Самарқанд вилояти</t>
  </si>
  <si>
    <t>Муаллақ заррачалар ва газни тозалаш учун тозаловчи фильтр - 99,9% гача</t>
  </si>
  <si>
    <r>
      <t xml:space="preserve">2026 йилда "Ўзбеккўмир" АЖ томонидан </t>
    </r>
    <r>
      <rPr>
        <b/>
        <u/>
        <sz val="14"/>
        <color theme="4"/>
        <rFont val="Times New Roman"/>
        <family val="1"/>
        <charset val="204"/>
      </rPr>
      <t>саноат кооперацияси орқали</t>
    </r>
    <r>
      <rPr>
        <b/>
        <i/>
        <sz val="14"/>
        <rFont val="Times New Roman"/>
        <family val="1"/>
        <charset val="204"/>
      </rPr>
      <t xml:space="preserve"> (харид билан бирга) </t>
    </r>
    <r>
      <rPr>
        <b/>
        <sz val="14"/>
        <rFont val="Times New Roman"/>
        <family val="1"/>
        <charset val="204"/>
      </rPr>
      <t>маҳаллий тадбиркорлик субъектлари томонидан ишлаб чиқарилаётган маҳсулотлар
Р Ў Й Х А Т И</t>
    </r>
  </si>
  <si>
    <t>2026 йил прогноз</t>
  </si>
  <si>
    <t>"BEST GAMMA" MCHJ</t>
  </si>
  <si>
    <t>Эмаль бўёқ қора ранг (қора, қизил)</t>
  </si>
  <si>
    <t>"ESTIMATE CLASSMATE" MCHJ</t>
  </si>
  <si>
    <t xml:space="preserve">Bino inshoatlarni baholash xizmati. </t>
  </si>
  <si>
    <t>CHIROQSHI DALA SHPATILI KVARS XK</t>
  </si>
  <si>
    <t>Кварц қуми</t>
  </si>
  <si>
    <t>Қашқадарё вилояти</t>
  </si>
  <si>
    <t>SREDAZPODSHIPNIK MCHJ, BEARING MANUFACTORY MCHJ, CLARKGROUP MCHJ</t>
  </si>
  <si>
    <t xml:space="preserve">SREDAZPODSHIPNIK MCHJ,BEARING MANUFACTORY MCHJ, CLARKGROUP MCHJ </t>
  </si>
  <si>
    <t xml:space="preserve">ALEKS-TRADE MCHJ </t>
  </si>
  <si>
    <t>Ёнғин ўчирувчи машинаси, Тех.хизмат машинаси</t>
  </si>
  <si>
    <t>ПФ-115 эмаль бўёғи, Акрил полимери асосидаги сувли эмульсия бўёғи</t>
  </si>
  <si>
    <t>OSET-GROUP MCHJ</t>
  </si>
  <si>
    <t>Компьютер тўплами</t>
  </si>
  <si>
    <t>PORTLAND XK</t>
  </si>
  <si>
    <t>Газсимон кислород</t>
  </si>
  <si>
    <t>куб.метр</t>
  </si>
  <si>
    <t>ROLTOM MCHJ</t>
  </si>
  <si>
    <t>Подшипника корпуси пўлат қалинлиги 4,0 мм (307)</t>
  </si>
  <si>
    <t>RUBBERTECH MCHJ</t>
  </si>
  <si>
    <t>Резина тросли  конвейер тасмаси</t>
  </si>
  <si>
    <t>"BRZ" MCHJ QK</t>
  </si>
  <si>
    <t>п.м.</t>
  </si>
  <si>
    <t>Андижон вилояти</t>
  </si>
  <si>
    <t>Тошкент шаҳри, Андижон вилояти</t>
  </si>
  <si>
    <t xml:space="preserve">Андижон вилояти </t>
  </si>
  <si>
    <t>Сирдарё вилояти</t>
  </si>
  <si>
    <t>"RIALWAY SERVICE" MCHJ</t>
  </si>
  <si>
    <t>Темир йул алохида бириктиргичлари таглиги</t>
  </si>
  <si>
    <t>BASTION GROUP XK</t>
  </si>
  <si>
    <t>Припой оловянно -свинцовый</t>
  </si>
  <si>
    <t>FAIR AUDIT MCHJ AT</t>
  </si>
  <si>
    <t>Услуга общего аудита</t>
  </si>
  <si>
    <t>FERRUM MCHJ</t>
  </si>
  <si>
    <t>Темир йўл қурилиши учун эҳтиёт қисмлар</t>
  </si>
  <si>
    <t>дона/ тўплам</t>
  </si>
  <si>
    <t>JAXONGIR  SHERBEK  KELAJAGI  2020 MCHJ</t>
  </si>
  <si>
    <t>Сўнидирилмаган оҳак</t>
  </si>
  <si>
    <t>Навоий вилояти</t>
  </si>
  <si>
    <t>Эмульсия водозащитная гидроизоляционная</t>
  </si>
  <si>
    <t>NAM ELEKTRO MCHJ</t>
  </si>
  <si>
    <t>Наманган вилояти</t>
  </si>
  <si>
    <t>RUBBER TECHNICAL PRODUCTS MCHJ</t>
  </si>
  <si>
    <t>TECHNOLOGY ELECTRONIC L-TECH MCHJ</t>
  </si>
  <si>
    <t>Қуёш фотоэлектр станцияси (100 кВт)</t>
  </si>
  <si>
    <t>тўплам</t>
  </si>
  <si>
    <t>TENSOZLIK MCHJ</t>
  </si>
  <si>
    <t>Шпатлевка, клей плиточный</t>
  </si>
  <si>
    <t>"PERCEPTION VALUE" MCHJ</t>
  </si>
  <si>
    <t>Активларни баҳолаш хизмати</t>
  </si>
  <si>
    <t>Фарғона вилояти</t>
  </si>
  <si>
    <t>шартли бирлик</t>
  </si>
  <si>
    <t>BARAKA PLYUS SHANS RIVOJ MCHJ</t>
  </si>
  <si>
    <t>Бухоро вилояти</t>
  </si>
  <si>
    <t>Мих махсулотлари</t>
  </si>
  <si>
    <t>BASTOM AUDIT MCHJ AT</t>
  </si>
  <si>
    <t>Тошкент шаҳар</t>
  </si>
  <si>
    <t>Ташқи аудит хизмати</t>
  </si>
  <si>
    <t>BEST-AUTO-GAZ MCHJ</t>
  </si>
  <si>
    <t>Автомобилар учун газ ускуналарини ўрнатиш хизмати</t>
  </si>
  <si>
    <t>А-70 изоляцияланмаган сим маҳсулот лари</t>
  </si>
  <si>
    <t>GULISTON  ALYUMIN   PRO MCHJ XK</t>
  </si>
  <si>
    <t>IJTIMOIY MEGA TAMINOT MCHJ</t>
  </si>
  <si>
    <t>MAGISTRAL DIESEL SERVICE MCHJ</t>
  </si>
  <si>
    <t>Вахта автобус (вахтовый автобус) 6х6</t>
  </si>
  <si>
    <t>Лак-бўёқ маҳсулотлари, акрил полимери асосидаги сувли эмульсия бўёғи</t>
  </si>
  <si>
    <t>MCITY MCHJ</t>
  </si>
  <si>
    <t>PRIME AUDIT ADVISORS MCHJ AT</t>
  </si>
  <si>
    <t xml:space="preserve">Ички аудитни ҳалқаро стандартларга мувофиқлаштириш хизмати </t>
  </si>
  <si>
    <t>RWS OPTIMUM MCHJ XK</t>
  </si>
  <si>
    <t>Темир-бетон шпаллар</t>
  </si>
  <si>
    <t>IBRAGIMOV XUSAN NASIROVICH XK, HAYITKO'L QAYMOQ-SUT MCHJ, BEKZODBEK FAROVON SAVDO XK, SHAHRISABZ NATURAL MILK OK</t>
  </si>
  <si>
    <t>SUVMASH NEWGROUP MCHJ</t>
  </si>
  <si>
    <t>"ALL SOLAR" MCHJ</t>
  </si>
  <si>
    <t>Қуёш иссиқлик коллектори тизими 6000 л</t>
  </si>
  <si>
    <t>"ELEKTRO TECH PRO" MCHJ</t>
  </si>
  <si>
    <t>LED ёриткич чироқлари</t>
  </si>
  <si>
    <t>"EXTREME PROFIT" MCHJ</t>
  </si>
  <si>
    <t>Хужалик совуни 72%</t>
  </si>
  <si>
    <t>"SELXOZMASH TEXTIL" MCHJ</t>
  </si>
  <si>
    <t>Тиббий дока салфеткалари</t>
  </si>
  <si>
    <t>"UNIVERSALENERGY" MCHJ</t>
  </si>
  <si>
    <t>Жиззах вилояти</t>
  </si>
  <si>
    <t>Куёш фотоэлектрик станцияси 50 кВТ</t>
  </si>
  <si>
    <t>ASIA PHARM LYUKS MCHJ</t>
  </si>
  <si>
    <t>Дори-дармон маҳсулотлари</t>
  </si>
  <si>
    <t>DORI-DARMON TRADE MCHJ</t>
  </si>
  <si>
    <t>Эрувчан сақлагич, алюмин плашка қисқичи</t>
  </si>
  <si>
    <t>SELEN BUNYODKOR MCHJ</t>
  </si>
  <si>
    <t>Қурилиш битуми</t>
  </si>
  <si>
    <t>Кувурли электр иситгич ТЭН 100 А 13/0,25 С 220 В, доимий, симли демпферли резистор (6,2 Ом) кучланиши 3000 В</t>
  </si>
  <si>
    <t>TRENO INTERNATIONAL MCHJ</t>
  </si>
  <si>
    <t>YANGI XAYOT ZIYOSI MCHJ</t>
  </si>
  <si>
    <t>LED панель ички думалок 18W (Акрил)</t>
  </si>
  <si>
    <t>"JAYXUN ELEKTRO" MCHJ</t>
  </si>
  <si>
    <t>Қорақалпоғистон Республикаси</t>
  </si>
  <si>
    <t>LED прожекторлар</t>
  </si>
  <si>
    <t>"TECHNOSOLUTIONS" MCHJ</t>
  </si>
  <si>
    <t>Кондиционер</t>
  </si>
  <si>
    <t>"TURK SHANAY BIZNES" XK</t>
  </si>
  <si>
    <t>Суюқ совун</t>
  </si>
  <si>
    <t>"VOLTUS ELEKTRO" MCHJ</t>
  </si>
  <si>
    <t>Хоразм вилояти</t>
  </si>
  <si>
    <t>Эмалланган мис сим</t>
  </si>
  <si>
    <t>"ZAYNUR TECHNOLOGE" MCHJ</t>
  </si>
  <si>
    <t>Диван кресло тўплами</t>
  </si>
  <si>
    <t>BEKTEMIR METALL KONSTRUKSIYALARI MCHJ QK</t>
  </si>
  <si>
    <t>ОГК2с-6Ф кронштейнли метал устунлар</t>
  </si>
  <si>
    <t>дона/ тўплам/флакон</t>
  </si>
  <si>
    <t>ECOSOLAR SYSTEMS MCHJ</t>
  </si>
  <si>
    <t>Поливомоечная дорожная машина с ёмкостью 10000 л, Автокран (32тн)</t>
  </si>
  <si>
    <t>EVERY TIME MCHJ</t>
  </si>
  <si>
    <t>Кир ювиш кукуни қулда ювиш учун</t>
  </si>
  <si>
    <t>FARM SITY 777 MCHJ</t>
  </si>
  <si>
    <t>Лейкопластырь</t>
  </si>
  <si>
    <t>GULISTON ALYUMIN PRO MCHJ XK</t>
  </si>
  <si>
    <t>Хаво электр узатиш линиялари учун изоляцияланмаган симлар</t>
  </si>
  <si>
    <t>LEXON OFFICE MCHJ</t>
  </si>
  <si>
    <t>Ўрамлик қоғоз сочиқ</t>
  </si>
  <si>
    <t>пачка</t>
  </si>
  <si>
    <t>PROGRESS RSF XK</t>
  </si>
  <si>
    <t>Идиш ювиш воситаси (гель)</t>
  </si>
  <si>
    <t>Экскаваторларнинг олди девори, майдалаш плиталар тўплами, занжир бўғини</t>
  </si>
  <si>
    <t>Резинали бирикма, клей</t>
  </si>
  <si>
    <t>Офис учун мебель жихоз лари (стол, стул, жавон), журнал столи</t>
  </si>
  <si>
    <t xml:space="preserve">"TECHNOSOLUTIONS" MCHJ </t>
  </si>
  <si>
    <t>ANGREN ELEKTRO-IZOLIT MCHJ</t>
  </si>
  <si>
    <t>Тошкент вилоят</t>
  </si>
  <si>
    <t>Изолятор ШФ-10</t>
  </si>
  <si>
    <t>ASMEX PETROCHEM MCHJ</t>
  </si>
  <si>
    <t>Горизонтал пўлат резервуар 100 м3</t>
  </si>
  <si>
    <t>EURO PLAST TASHKENT MCHJ</t>
  </si>
  <si>
    <t>Вагонлар учун композицион тормоз колодкаси</t>
  </si>
  <si>
    <t>IHLAS ELEKTRIK MCHJ</t>
  </si>
  <si>
    <t>LED прожектор - 400W</t>
  </si>
  <si>
    <t>LIRKONFARM MCHJ</t>
  </si>
  <si>
    <t>"Лиркон" хлорли таблеткалар, дезинфекция воситаси</t>
  </si>
  <si>
    <t>SAM DORI TAMINOT FARM MCHJ</t>
  </si>
  <si>
    <t>TERMIZ LED MCHJ</t>
  </si>
  <si>
    <t>Кран запорный шаровой</t>
  </si>
  <si>
    <t>Сурхондарё вилояти</t>
  </si>
  <si>
    <t>"GOSMEDLINE" MCHJ</t>
  </si>
  <si>
    <t>"JIHOZVENT" MCHJ</t>
  </si>
  <si>
    <t>"NAMANGAN REZINA PLAST" MCHJ</t>
  </si>
  <si>
    <t>Наманган шаҳар</t>
  </si>
  <si>
    <t>Резина тросли ва матоли конвейер тасмалари</t>
  </si>
  <si>
    <t>п/м</t>
  </si>
  <si>
    <t>BEST LOGISTIC SOLUTION CA XK</t>
  </si>
  <si>
    <t>Ностерил тиббиёт қўлқоплари</t>
  </si>
  <si>
    <t>FAZO-LUXE MCHJ</t>
  </si>
  <si>
    <t>Ностерил тиббиёт бинтлари</t>
  </si>
  <si>
    <t>NAVOIY STEKLO LYUKS MCHJ</t>
  </si>
  <si>
    <t>Жидкое стекло</t>
  </si>
  <si>
    <t>NISA MEDICAL MED MCHJ</t>
  </si>
  <si>
    <t>тўплам/ дона</t>
  </si>
  <si>
    <t>Марказдан қочма горизонтал насослар, роторлар</t>
  </si>
  <si>
    <t>М-14 мотор мойи, Т-15 трансмиссия мойи</t>
  </si>
  <si>
    <r>
      <t>2026 йил</t>
    </r>
    <r>
      <rPr>
        <b/>
        <i/>
        <sz val="14"/>
        <rFont val="Times New Roman"/>
        <family val="1"/>
        <charset val="204"/>
      </rPr>
      <t xml:space="preserve"> (январ-август)</t>
    </r>
    <r>
      <rPr>
        <b/>
        <sz val="14"/>
        <rFont val="Times New Roman"/>
        <family val="1"/>
        <charset val="204"/>
      </rPr>
      <t xml:space="preserve"> Амалда </t>
    </r>
  </si>
  <si>
    <t>Тиббий ниқоб</t>
  </si>
  <si>
    <t>GENIUS STATIONERY MCHJ</t>
  </si>
  <si>
    <t>НАФТИЗИН бурун томчилари 0,1% 5 мл</t>
  </si>
  <si>
    <t>JURABEK LABORATORIES MCHJ QK</t>
  </si>
  <si>
    <t>қадоқ</t>
  </si>
  <si>
    <t>Бир марталик инъекция учун шприцлар</t>
  </si>
  <si>
    <t>NTF TRADE MCHJ</t>
  </si>
  <si>
    <t>Фольгаизол</t>
  </si>
  <si>
    <t>TASHPOLIZOLKROVLYA MCHJ</t>
  </si>
  <si>
    <t>кв.м</t>
  </si>
  <si>
    <t>Ижрочи: И.Ш.Газиев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</si>
</sst>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u/>
      <sz val="14"/>
      <color theme="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/>
    <xf numFmtId="0" fontId="2" fillId="2" borderId="7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/>
    </xf>
    <xf numFmtId="0" fontId="2" fillId="3" borderId="11" xfId="1" applyFont="1" applyFill="1" applyBorder="1" applyAlignment="1">
      <alignment horizontal="center" vertical="center"/>
    </xf>
    <xf numFmtId="0" fontId="2" fillId="3" borderId="9" xfId="1" applyFont="1" applyFill="1" applyBorder="1" applyAlignment="1">
      <alignment horizontal="center" vertical="center"/>
    </xf>
    <xf numFmtId="0" fontId="5" fillId="3" borderId="12" xfId="1" applyFont="1" applyFill="1" applyBorder="1"/>
    <xf numFmtId="0" fontId="5" fillId="4" borderId="15" xfId="1" applyFont="1" applyFill="1" applyBorder="1" applyAlignment="1">
      <alignment horizontal="center" vertical="center" wrapText="1"/>
    </xf>
    <xf numFmtId="3" fontId="5" fillId="4" borderId="13" xfId="1" applyNumberFormat="1" applyFont="1" applyFill="1" applyBorder="1" applyAlignment="1">
      <alignment horizontal="center" vertical="center"/>
    </xf>
    <xf numFmtId="165" fontId="5" fillId="4" borderId="14" xfId="1" applyNumberFormat="1" applyFont="1" applyFill="1" applyBorder="1" applyAlignment="1">
      <alignment horizontal="center" vertical="center"/>
    </xf>
    <xf numFmtId="165" fontId="2" fillId="3" borderId="10" xfId="1" applyNumberFormat="1" applyFont="1" applyFill="1" applyBorder="1" applyAlignment="1">
      <alignment horizontal="center" vertical="center"/>
    </xf>
    <xf numFmtId="165" fontId="2" fillId="3" borderId="8" xfId="1" applyNumberFormat="1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 wrapText="1"/>
    </xf>
    <xf numFmtId="3" fontId="7" fillId="5" borderId="13" xfId="0" applyNumberFormat="1" applyFont="1" applyFill="1" applyBorder="1" applyAlignment="1">
      <alignment horizontal="center" vertical="center" wrapText="1"/>
    </xf>
    <xf numFmtId="3" fontId="5" fillId="5" borderId="13" xfId="1" applyNumberFormat="1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3" fontId="5" fillId="5" borderId="16" xfId="1" applyNumberFormat="1" applyFont="1" applyFill="1" applyBorder="1" applyAlignment="1">
      <alignment horizontal="center" vertical="center"/>
    </xf>
    <xf numFmtId="0" fontId="5" fillId="5" borderId="13" xfId="1" applyFont="1" applyFill="1" applyBorder="1" applyAlignment="1">
      <alignment horizontal="center" vertical="center"/>
    </xf>
    <xf numFmtId="3" fontId="5" fillId="5" borderId="13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3" fontId="5" fillId="5" borderId="16" xfId="1" applyNumberFormat="1" applyFont="1" applyFill="1" applyBorder="1" applyAlignment="1">
      <alignment horizontal="center" vertical="center" wrapText="1"/>
    </xf>
    <xf numFmtId="164" fontId="7" fillId="5" borderId="13" xfId="0" applyNumberFormat="1" applyFont="1" applyFill="1" applyBorder="1" applyAlignment="1">
      <alignment horizontal="center" vertical="center" wrapText="1"/>
    </xf>
    <xf numFmtId="3" fontId="5" fillId="5" borderId="17" xfId="1" applyNumberFormat="1" applyFont="1" applyFill="1" applyBorder="1" applyAlignment="1">
      <alignment horizontal="center" vertical="center"/>
    </xf>
    <xf numFmtId="3" fontId="5" fillId="5" borderId="18" xfId="1" applyNumberFormat="1" applyFont="1" applyFill="1" applyBorder="1" applyAlignment="1">
      <alignment horizontal="center" vertical="center"/>
    </xf>
    <xf numFmtId="165" fontId="7" fillId="5" borderId="13" xfId="0" applyNumberFormat="1" applyFont="1" applyFill="1" applyBorder="1" applyAlignment="1">
      <alignment horizontal="center" vertical="center" wrapText="1"/>
    </xf>
    <xf numFmtId="165" fontId="5" fillId="5" borderId="13" xfId="1" applyNumberFormat="1" applyFont="1" applyFill="1" applyBorder="1" applyAlignment="1">
      <alignment horizontal="center" vertical="center"/>
    </xf>
    <xf numFmtId="165" fontId="5" fillId="5" borderId="14" xfId="1" applyNumberFormat="1" applyFont="1" applyFill="1" applyBorder="1" applyAlignment="1">
      <alignment horizontal="center" vertical="center"/>
    </xf>
    <xf numFmtId="0" fontId="5" fillId="5" borderId="15" xfId="1" applyFont="1" applyFill="1" applyBorder="1" applyAlignment="1">
      <alignment horizontal="center" vertical="center" wrapText="1"/>
    </xf>
    <xf numFmtId="165" fontId="5" fillId="5" borderId="16" xfId="1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3" fontId="7" fillId="5" borderId="16" xfId="0" applyNumberFormat="1" applyFont="1" applyFill="1" applyBorder="1" applyAlignment="1">
      <alignment horizontal="center" vertical="center" wrapText="1"/>
    </xf>
    <xf numFmtId="3" fontId="5" fillId="4" borderId="18" xfId="1" applyNumberFormat="1" applyFont="1" applyFill="1" applyBorder="1" applyAlignment="1">
      <alignment horizontal="center" vertical="center"/>
    </xf>
    <xf numFmtId="3" fontId="5" fillId="4" borderId="17" xfId="1" applyNumberFormat="1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wrapText="1"/>
    </xf>
    <xf numFmtId="165" fontId="7" fillId="4" borderId="13" xfId="0" applyNumberFormat="1" applyFont="1" applyFill="1" applyBorder="1" applyAlignment="1">
      <alignment horizontal="center" vertical="center" wrapText="1"/>
    </xf>
    <xf numFmtId="164" fontId="7" fillId="4" borderId="13" xfId="0" applyNumberFormat="1" applyFont="1" applyFill="1" applyBorder="1" applyAlignment="1">
      <alignment horizontal="center" vertical="center" wrapText="1"/>
    </xf>
    <xf numFmtId="3" fontId="7" fillId="4" borderId="13" xfId="0" applyNumberFormat="1" applyFont="1" applyFill="1" applyBorder="1" applyAlignment="1">
      <alignment horizontal="center" vertical="center" wrapText="1"/>
    </xf>
    <xf numFmtId="3" fontId="5" fillId="4" borderId="0" xfId="1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3" fontId="7" fillId="4" borderId="0" xfId="0" applyNumberFormat="1" applyFont="1" applyFill="1" applyAlignment="1">
      <alignment horizontal="center" vertical="center" wrapText="1"/>
    </xf>
    <xf numFmtId="165" fontId="7" fillId="4" borderId="0" xfId="0" applyNumberFormat="1" applyFont="1" applyFill="1" applyAlignment="1">
      <alignment horizontal="center" vertical="center" wrapText="1"/>
    </xf>
    <xf numFmtId="164" fontId="7" fillId="4" borderId="0" xfId="0" applyNumberFormat="1" applyFont="1" applyFill="1" applyAlignment="1">
      <alignment horizontal="center" vertical="center" wrapText="1"/>
    </xf>
    <xf numFmtId="0" fontId="5" fillId="4" borderId="0" xfId="1" applyFont="1" applyFill="1" applyAlignment="1">
      <alignment horizontal="center" vertical="center" wrapText="1"/>
    </xf>
    <xf numFmtId="4" fontId="5" fillId="4" borderId="14" xfId="1" applyNumberFormat="1" applyFont="1" applyFill="1" applyBorder="1" applyAlignment="1">
      <alignment horizontal="center" vertical="center"/>
    </xf>
    <xf numFmtId="4" fontId="7" fillId="4" borderId="1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65" fontId="5" fillId="4" borderId="13" xfId="1" applyNumberFormat="1" applyFont="1" applyFill="1" applyBorder="1" applyAlignment="1">
      <alignment horizontal="center" vertical="center"/>
    </xf>
    <xf numFmtId="3" fontId="5" fillId="5" borderId="20" xfId="1" applyNumberFormat="1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 wrapText="1"/>
    </xf>
    <xf numFmtId="3" fontId="5" fillId="5" borderId="22" xfId="1" applyNumberFormat="1" applyFont="1" applyFill="1" applyBorder="1" applyAlignment="1">
      <alignment horizontal="center" vertical="center"/>
    </xf>
    <xf numFmtId="3" fontId="7" fillId="5" borderId="21" xfId="0" applyNumberFormat="1" applyFont="1" applyFill="1" applyBorder="1" applyAlignment="1">
      <alignment horizontal="center" vertical="center" wrapText="1"/>
    </xf>
    <xf numFmtId="165" fontId="7" fillId="5" borderId="21" xfId="0" applyNumberFormat="1" applyFont="1" applyFill="1" applyBorder="1" applyAlignment="1">
      <alignment horizontal="center" vertical="center" wrapText="1"/>
    </xf>
    <xf numFmtId="164" fontId="7" fillId="5" borderId="21" xfId="0" applyNumberFormat="1" applyFont="1" applyFill="1" applyBorder="1" applyAlignment="1">
      <alignment horizontal="center" vertical="center" wrapText="1"/>
    </xf>
    <xf numFmtId="3" fontId="5" fillId="5" borderId="21" xfId="1" applyNumberFormat="1" applyFont="1" applyFill="1" applyBorder="1" applyAlignment="1">
      <alignment horizontal="center" vertical="center"/>
    </xf>
    <xf numFmtId="165" fontId="5" fillId="5" borderId="21" xfId="1" applyNumberFormat="1" applyFont="1" applyFill="1" applyBorder="1" applyAlignment="1">
      <alignment horizontal="center" vertical="center"/>
    </xf>
    <xf numFmtId="0" fontId="5" fillId="5" borderId="23" xfId="1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3" fontId="5" fillId="4" borderId="16" xfId="1" applyNumberFormat="1" applyFont="1" applyFill="1" applyBorder="1" applyAlignment="1">
      <alignment horizontal="center" vertical="center"/>
    </xf>
    <xf numFmtId="3" fontId="7" fillId="4" borderId="16" xfId="0" applyNumberFormat="1" applyFont="1" applyFill="1" applyBorder="1" applyAlignment="1">
      <alignment horizontal="center" vertical="center" wrapText="1"/>
    </xf>
    <xf numFmtId="165" fontId="7" fillId="4" borderId="16" xfId="0" applyNumberFormat="1" applyFont="1" applyFill="1" applyBorder="1" applyAlignment="1">
      <alignment horizontal="center" vertical="center" wrapText="1"/>
    </xf>
    <xf numFmtId="164" fontId="7" fillId="4" borderId="16" xfId="0" applyNumberFormat="1" applyFont="1" applyFill="1" applyBorder="1" applyAlignment="1">
      <alignment horizontal="center" vertical="center" wrapText="1"/>
    </xf>
    <xf numFmtId="165" fontId="5" fillId="4" borderId="16" xfId="1" applyNumberFormat="1" applyFont="1" applyFill="1" applyBorder="1" applyAlignment="1">
      <alignment horizontal="center" vertical="center"/>
    </xf>
    <xf numFmtId="4" fontId="5" fillId="4" borderId="13" xfId="1" applyNumberFormat="1" applyFont="1" applyFill="1" applyBorder="1" applyAlignment="1">
      <alignment horizontal="center" vertical="center"/>
    </xf>
    <xf numFmtId="4" fontId="7" fillId="4" borderId="0" xfId="0" applyNumberFormat="1" applyFont="1" applyFill="1" applyAlignment="1">
      <alignment horizontal="center" vertical="center" wrapText="1"/>
    </xf>
    <xf numFmtId="4" fontId="5" fillId="4" borderId="0" xfId="1" applyNumberFormat="1" applyFont="1" applyFill="1" applyAlignment="1">
      <alignment horizontal="center" vertical="center"/>
    </xf>
    <xf numFmtId="3" fontId="5" fillId="4" borderId="13" xfId="1" applyNumberFormat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3" fontId="5" fillId="5" borderId="14" xfId="1" applyNumberFormat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3" fontId="5" fillId="4" borderId="16" xfId="1" applyNumberFormat="1" applyFont="1" applyFill="1" applyBorder="1" applyAlignment="1">
      <alignment horizontal="center" vertical="center" wrapText="1"/>
    </xf>
    <xf numFmtId="3" fontId="5" fillId="4" borderId="0" xfId="1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2" fontId="5" fillId="5" borderId="13" xfId="1" applyNumberFormat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2">
    <cellStyle name="Обычный" xfId="0" builtinId="0"/>
    <cellStyle name="Обычный 18 4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0"/>
  <sheetViews>
    <sheetView tabSelected="1" topLeftCell="A94" zoomScale="70" zoomScaleNormal="70" workbookViewId="0">
      <selection activeCell="B121" sqref="B121"/>
    </sheetView>
  </sheetViews>
  <sheetFormatPr defaultRowHeight="15" x14ac:dyDescent="0.25"/>
  <cols>
    <col min="1" max="1" width="8.28515625" style="51" customWidth="1"/>
    <col min="2" max="2" width="34.5703125" customWidth="1"/>
    <col min="3" max="3" width="30.42578125" customWidth="1"/>
    <col min="4" max="4" width="24.28515625" style="77" customWidth="1"/>
    <col min="5" max="5" width="30.42578125" customWidth="1"/>
    <col min="6" max="6" width="17.140625" customWidth="1"/>
    <col min="7" max="7" width="13.42578125" customWidth="1"/>
    <col min="8" max="9" width="15.28515625" customWidth="1"/>
    <col min="10" max="10" width="19.140625" customWidth="1"/>
    <col min="11" max="11" width="13.42578125" customWidth="1"/>
    <col min="12" max="12" width="16.140625" customWidth="1"/>
    <col min="13" max="13" width="22.7109375" customWidth="1"/>
    <col min="14" max="14" width="23.42578125" customWidth="1"/>
  </cols>
  <sheetData>
    <row r="1" spans="1:14" ht="42.75" customHeight="1" x14ac:dyDescent="0.25">
      <c r="A1" s="79" t="s">
        <v>79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9.5" thickBot="1" x14ac:dyDescent="0.35">
      <c r="A2" s="1"/>
      <c r="B2" s="2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3"/>
    </row>
    <row r="3" spans="1:14" ht="24.75" customHeight="1" thickBot="1" x14ac:dyDescent="0.3">
      <c r="A3" s="80" t="s">
        <v>0</v>
      </c>
      <c r="B3" s="83" t="s">
        <v>1</v>
      </c>
      <c r="C3" s="86" t="s">
        <v>2</v>
      </c>
      <c r="D3" s="87"/>
      <c r="E3" s="87"/>
      <c r="F3" s="88"/>
      <c r="G3" s="83" t="s">
        <v>3</v>
      </c>
      <c r="H3" s="87" t="s">
        <v>80</v>
      </c>
      <c r="I3" s="87"/>
      <c r="J3" s="88"/>
      <c r="K3" s="86" t="s">
        <v>238</v>
      </c>
      <c r="L3" s="87"/>
      <c r="M3" s="88"/>
      <c r="N3" s="83" t="s">
        <v>4</v>
      </c>
    </row>
    <row r="4" spans="1:14" ht="24" customHeight="1" thickBot="1" x14ac:dyDescent="0.3">
      <c r="A4" s="81"/>
      <c r="B4" s="84"/>
      <c r="C4" s="86" t="s">
        <v>5</v>
      </c>
      <c r="D4" s="88"/>
      <c r="E4" s="86" t="s">
        <v>6</v>
      </c>
      <c r="F4" s="88"/>
      <c r="G4" s="84"/>
      <c r="H4" s="83" t="s">
        <v>7</v>
      </c>
      <c r="I4" s="83" t="s">
        <v>8</v>
      </c>
      <c r="J4" s="83" t="s">
        <v>9</v>
      </c>
      <c r="K4" s="83" t="s">
        <v>7</v>
      </c>
      <c r="L4" s="83" t="s">
        <v>8</v>
      </c>
      <c r="M4" s="83" t="s">
        <v>9</v>
      </c>
      <c r="N4" s="84"/>
    </row>
    <row r="5" spans="1:14" ht="55.5" customHeight="1" thickBot="1" x14ac:dyDescent="0.3">
      <c r="A5" s="82"/>
      <c r="B5" s="85"/>
      <c r="C5" s="23" t="s">
        <v>10</v>
      </c>
      <c r="D5" s="23" t="s">
        <v>11</v>
      </c>
      <c r="E5" s="24" t="s">
        <v>10</v>
      </c>
      <c r="F5" s="4" t="s">
        <v>12</v>
      </c>
      <c r="G5" s="85"/>
      <c r="H5" s="85"/>
      <c r="I5" s="85"/>
      <c r="J5" s="85"/>
      <c r="K5" s="84"/>
      <c r="L5" s="84"/>
      <c r="M5" s="84"/>
      <c r="N5" s="84"/>
    </row>
    <row r="6" spans="1:14" ht="27.75" customHeight="1" thickBot="1" x14ac:dyDescent="0.35">
      <c r="A6" s="15"/>
      <c r="B6" s="5" t="s">
        <v>13</v>
      </c>
      <c r="C6" s="6"/>
      <c r="D6" s="72"/>
      <c r="E6" s="7"/>
      <c r="F6" s="8"/>
      <c r="G6" s="8"/>
      <c r="H6" s="8"/>
      <c r="I6" s="13">
        <f>I7+I8+I9+I10+I11+I12+I13+I14+I15+I16+I17+I18+I19+I20+I21+I22</f>
        <v>32007.864999999998</v>
      </c>
      <c r="J6" s="13">
        <f>J7+J8+J9+J10+J11+J12+J13+J14+J15+J16+J17+J18+J19+J20+J21+J22</f>
        <v>2462.1434615384619</v>
      </c>
      <c r="K6" s="14"/>
      <c r="L6" s="13">
        <f>L7+L8+L9+L10+L11+L12+L13+L14+L15+L16+L17+L18+L19+L20+L21+L22+L23+L24+L25+L26+L27+L28+L29+L30+L31+L32+L33+L34+L35+L36+L37+L38+L39+L40+L41+L42+L43+L44+L45+L46+L47+L48+L49+L50+L51+L52+L53+L54+L55+L56+L57+L58+L59+L60+L61+L62+L63+L64+L65+L66+L67+L68+L69+L70+L71+L72+L73+L74+L75+L76+L77+L78+L79+L80+L81+L82+L83+L84+L85+L86+L87+L88+L89+L90+L91+L92+L93+L94+L95+L96+L97+L98+L99+L100+L101</f>
        <v>68889.965114000006</v>
      </c>
      <c r="M6" s="13">
        <f>M7+M8+M9+M10+M11+M12+M13+M14+M15+M16+M17+M18+M19+M20+M21+M22+M23+M24+M25+M26+M27+M28+M29+M30+M31+M32+M33+M34+M35+M36+M37+M38+M39+M40+M41+M42+M43+M44+M45+M46+M47+M48+M49+M50+M51+M52+M53+M54+M55+M56+M57+M58+M59+M60+M61+M62+M63+M64+M65+M66+M67+M68+M69+M70+M71+M72+M73+M74+M75+M76+M77+M78+M79+M80+M81+M82+M83+M84+M85+M86+M87+M88+M89+M90+M91+M92+M93+M94+M95+M96+M97+M98+M99+M100+M101</f>
        <v>5299.2280856923062</v>
      </c>
      <c r="N6" s="9"/>
    </row>
    <row r="7" spans="1:14" ht="82.5" customHeight="1" x14ac:dyDescent="0.25">
      <c r="A7" s="53">
        <v>1</v>
      </c>
      <c r="B7" s="54" t="s">
        <v>14</v>
      </c>
      <c r="C7" s="54" t="s">
        <v>89</v>
      </c>
      <c r="D7" s="54" t="s">
        <v>105</v>
      </c>
      <c r="E7" s="54" t="s">
        <v>88</v>
      </c>
      <c r="F7" s="55">
        <v>301299995</v>
      </c>
      <c r="G7" s="54" t="s">
        <v>16</v>
      </c>
      <c r="H7" s="56">
        <v>2600</v>
      </c>
      <c r="I7" s="57">
        <v>762.6</v>
      </c>
      <c r="J7" s="58">
        <f>I7/13</f>
        <v>58.661538461538463</v>
      </c>
      <c r="K7" s="59">
        <f>70+1570+14+4+4+1+8+10+2+30+10+10+2+8+4+8+8+25+3000+4+4+2+1+2+4+20+10+4+4+2+2+4+73+124+12</f>
        <v>5060</v>
      </c>
      <c r="L7" s="60">
        <f>162.2+101.8+36.95+1.86+2.03+9+18.8+12.5+12.4+49.8+13.6+7.83+31+7.82+3.6+7.82+23.18+18.5+96+1.5+1.8+0.16+0.26+1.2+2.6+24+7.5+6+13+2.5+5.3+5+166.06+58.08+20.448</f>
        <v>932.09799999999996</v>
      </c>
      <c r="M7" s="60">
        <f>L7/13</f>
        <v>71.699846153846153</v>
      </c>
      <c r="N7" s="61" t="s">
        <v>17</v>
      </c>
    </row>
    <row r="8" spans="1:14" ht="37.5" x14ac:dyDescent="0.25">
      <c r="A8" s="28">
        <v>2</v>
      </c>
      <c r="B8" s="19" t="s">
        <v>35</v>
      </c>
      <c r="C8" s="17" t="s">
        <v>34</v>
      </c>
      <c r="D8" s="73" t="s">
        <v>15</v>
      </c>
      <c r="E8" s="17" t="s">
        <v>34</v>
      </c>
      <c r="F8" s="18">
        <v>205734367</v>
      </c>
      <c r="G8" s="16" t="s">
        <v>16</v>
      </c>
      <c r="H8" s="17">
        <v>8000</v>
      </c>
      <c r="I8" s="26">
        <v>680.5</v>
      </c>
      <c r="J8" s="26">
        <f t="shared" ref="J8:J12" si="0">I8/13</f>
        <v>52.346153846153847</v>
      </c>
      <c r="K8" s="18">
        <f>500+500+500+450+300+500+500+200+1650+1500+3000</f>
        <v>9600</v>
      </c>
      <c r="L8" s="30">
        <f>29+32.5+31.7+184.43+29.3+31.7+29+13.2+120.91+89.79+219.46</f>
        <v>810.99</v>
      </c>
      <c r="M8" s="31">
        <f t="shared" ref="M8:M70" si="1">L8/13</f>
        <v>62.383846153846157</v>
      </c>
      <c r="N8" s="32" t="s">
        <v>17</v>
      </c>
    </row>
    <row r="9" spans="1:14" ht="37.5" x14ac:dyDescent="0.25">
      <c r="A9" s="27">
        <v>3</v>
      </c>
      <c r="B9" s="16" t="s">
        <v>18</v>
      </c>
      <c r="C9" s="16" t="s">
        <v>19</v>
      </c>
      <c r="D9" s="22" t="s">
        <v>15</v>
      </c>
      <c r="E9" s="16" t="s">
        <v>19</v>
      </c>
      <c r="F9" s="20">
        <v>306564869</v>
      </c>
      <c r="G9" s="16" t="s">
        <v>16</v>
      </c>
      <c r="H9" s="17">
        <v>1000</v>
      </c>
      <c r="I9" s="29">
        <v>1224.5999999999999</v>
      </c>
      <c r="J9" s="26">
        <f t="shared" si="0"/>
        <v>94.199999999999989</v>
      </c>
      <c r="K9" s="20">
        <f>69+587</f>
        <v>656</v>
      </c>
      <c r="L9" s="33">
        <f>127.5+482.86</f>
        <v>610.36</v>
      </c>
      <c r="M9" s="31">
        <f t="shared" si="1"/>
        <v>46.950769230769232</v>
      </c>
      <c r="N9" s="32" t="s">
        <v>17</v>
      </c>
    </row>
    <row r="10" spans="1:14" ht="75" x14ac:dyDescent="0.25">
      <c r="A10" s="27">
        <v>4</v>
      </c>
      <c r="B10" s="16" t="s">
        <v>45</v>
      </c>
      <c r="C10" s="16" t="s">
        <v>44</v>
      </c>
      <c r="D10" s="22" t="s">
        <v>15</v>
      </c>
      <c r="E10" s="16" t="s">
        <v>36</v>
      </c>
      <c r="F10" s="20">
        <v>309062834</v>
      </c>
      <c r="G10" s="16" t="s">
        <v>16</v>
      </c>
      <c r="H10" s="16">
        <f>400</f>
        <v>400</v>
      </c>
      <c r="I10" s="29">
        <v>4391.3999999999996</v>
      </c>
      <c r="J10" s="26">
        <f t="shared" si="0"/>
        <v>337.79999999999995</v>
      </c>
      <c r="K10" s="20">
        <f>25+25+30+26+55+100+60+160</f>
        <v>481</v>
      </c>
      <c r="L10" s="33">
        <f>115+200+401.9+730+601.99+629.99+839.99+1433.99</f>
        <v>4952.8599999999997</v>
      </c>
      <c r="M10" s="31">
        <f t="shared" si="1"/>
        <v>380.98923076923074</v>
      </c>
      <c r="N10" s="32" t="s">
        <v>17</v>
      </c>
    </row>
    <row r="11" spans="1:14" ht="37.5" x14ac:dyDescent="0.25">
      <c r="A11" s="28">
        <v>5</v>
      </c>
      <c r="B11" s="16" t="s">
        <v>91</v>
      </c>
      <c r="C11" s="16" t="s">
        <v>52</v>
      </c>
      <c r="D11" s="25" t="s">
        <v>53</v>
      </c>
      <c r="E11" s="16" t="s">
        <v>52</v>
      </c>
      <c r="F11" s="20">
        <v>306858501</v>
      </c>
      <c r="G11" s="16" t="s">
        <v>16</v>
      </c>
      <c r="H11" s="16">
        <v>1</v>
      </c>
      <c r="I11" s="29">
        <v>3374.5</v>
      </c>
      <c r="J11" s="26">
        <f t="shared" si="0"/>
        <v>259.57692307692309</v>
      </c>
      <c r="K11" s="20">
        <f>1+1</f>
        <v>2</v>
      </c>
      <c r="L11" s="33">
        <f>3374.5+2890</f>
        <v>6264.5</v>
      </c>
      <c r="M11" s="31">
        <f t="shared" si="1"/>
        <v>481.88461538461536</v>
      </c>
      <c r="N11" s="32" t="s">
        <v>17</v>
      </c>
    </row>
    <row r="12" spans="1:14" ht="56.25" x14ac:dyDescent="0.25">
      <c r="A12" s="27">
        <v>6</v>
      </c>
      <c r="B12" s="16" t="s">
        <v>56</v>
      </c>
      <c r="C12" s="16" t="s">
        <v>57</v>
      </c>
      <c r="D12" s="25" t="s">
        <v>65</v>
      </c>
      <c r="E12" s="16" t="s">
        <v>57</v>
      </c>
      <c r="F12" s="20">
        <v>200460222</v>
      </c>
      <c r="G12" s="16" t="s">
        <v>26</v>
      </c>
      <c r="H12" s="16">
        <v>6</v>
      </c>
      <c r="I12" s="29">
        <v>4207.6000000000004</v>
      </c>
      <c r="J12" s="26">
        <f t="shared" si="0"/>
        <v>323.6615384615385</v>
      </c>
      <c r="K12" s="20">
        <f>2+5+5+5+3+3+5+5+5+25+50</f>
        <v>113</v>
      </c>
      <c r="L12" s="33">
        <f>17.6+44+44+44+26.4+26.4+44+44+44+44+207.5+415</f>
        <v>1000.9</v>
      </c>
      <c r="M12" s="31">
        <f t="shared" si="1"/>
        <v>76.992307692307691</v>
      </c>
      <c r="N12" s="34" t="s">
        <v>17</v>
      </c>
    </row>
    <row r="13" spans="1:14" ht="56.25" x14ac:dyDescent="0.25">
      <c r="A13" s="27">
        <v>7</v>
      </c>
      <c r="B13" s="16" t="s">
        <v>203</v>
      </c>
      <c r="C13" s="16" t="s">
        <v>20</v>
      </c>
      <c r="D13" s="22" t="s">
        <v>15</v>
      </c>
      <c r="E13" s="16" t="s">
        <v>20</v>
      </c>
      <c r="F13" s="20">
        <v>202681334</v>
      </c>
      <c r="G13" s="16" t="s">
        <v>16</v>
      </c>
      <c r="H13" s="16">
        <v>6</v>
      </c>
      <c r="I13" s="26">
        <v>1058.2</v>
      </c>
      <c r="J13" s="26">
        <f t="shared" ref="J13:J19" si="2">I13/13</f>
        <v>81.400000000000006</v>
      </c>
      <c r="K13" s="16">
        <f>1+1+90+8</f>
        <v>100</v>
      </c>
      <c r="L13" s="26">
        <f>65+65+1871.9+1416.8</f>
        <v>3418.7</v>
      </c>
      <c r="M13" s="26">
        <f t="shared" si="1"/>
        <v>262.97692307692307</v>
      </c>
      <c r="N13" s="35" t="s">
        <v>17</v>
      </c>
    </row>
    <row r="14" spans="1:14" ht="37.5" x14ac:dyDescent="0.25">
      <c r="A14" s="28">
        <v>8</v>
      </c>
      <c r="B14" s="16" t="s">
        <v>23</v>
      </c>
      <c r="C14" s="16" t="s">
        <v>24</v>
      </c>
      <c r="D14" s="25" t="s">
        <v>25</v>
      </c>
      <c r="E14" s="16" t="s">
        <v>24</v>
      </c>
      <c r="F14" s="20">
        <v>201564660</v>
      </c>
      <c r="G14" s="16" t="s">
        <v>26</v>
      </c>
      <c r="H14" s="17">
        <v>1200</v>
      </c>
      <c r="I14" s="29">
        <v>7032.48</v>
      </c>
      <c r="J14" s="26">
        <f t="shared" si="2"/>
        <v>540.95999999999992</v>
      </c>
      <c r="K14" s="78">
        <f>199.962+199.962+399.924+399.924+199.962+199.962</f>
        <v>1599.6959999999999</v>
      </c>
      <c r="L14" s="30">
        <f>1094.04+1153.3+2306.76+2306.76+1189.052+1189.052</f>
        <v>9238.9639999999999</v>
      </c>
      <c r="M14" s="31">
        <f t="shared" si="1"/>
        <v>710.6895384615384</v>
      </c>
      <c r="N14" s="32" t="s">
        <v>17</v>
      </c>
    </row>
    <row r="15" spans="1:14" ht="37.5" x14ac:dyDescent="0.25">
      <c r="A15" s="27">
        <v>9</v>
      </c>
      <c r="B15" s="16" t="s">
        <v>32</v>
      </c>
      <c r="C15" s="16" t="s">
        <v>33</v>
      </c>
      <c r="D15" s="22" t="s">
        <v>21</v>
      </c>
      <c r="E15" s="16" t="s">
        <v>33</v>
      </c>
      <c r="F15" s="18">
        <v>305783684</v>
      </c>
      <c r="G15" s="16" t="s">
        <v>26</v>
      </c>
      <c r="H15" s="17">
        <v>1000</v>
      </c>
      <c r="I15" s="29">
        <v>4948.125</v>
      </c>
      <c r="J15" s="26">
        <f t="shared" si="2"/>
        <v>380.625</v>
      </c>
      <c r="K15" s="21">
        <f>200+200</f>
        <v>400</v>
      </c>
      <c r="L15" s="30">
        <f>924+1030.4</f>
        <v>1954.4</v>
      </c>
      <c r="M15" s="31">
        <f t="shared" si="1"/>
        <v>150.33846153846156</v>
      </c>
      <c r="N15" s="32" t="s">
        <v>17</v>
      </c>
    </row>
    <row r="16" spans="1:14" ht="64.5" customHeight="1" x14ac:dyDescent="0.25">
      <c r="A16" s="27">
        <v>10</v>
      </c>
      <c r="B16" s="16" t="s">
        <v>27</v>
      </c>
      <c r="C16" s="16" t="s">
        <v>28</v>
      </c>
      <c r="D16" s="74" t="s">
        <v>29</v>
      </c>
      <c r="E16" s="16" t="s">
        <v>28</v>
      </c>
      <c r="F16" s="18">
        <v>301729736</v>
      </c>
      <c r="G16" s="16" t="s">
        <v>16</v>
      </c>
      <c r="H16" s="16">
        <v>200</v>
      </c>
      <c r="I16" s="29">
        <v>275.8</v>
      </c>
      <c r="J16" s="26">
        <f t="shared" si="2"/>
        <v>21.215384615384615</v>
      </c>
      <c r="K16" s="21">
        <f>20+20+20+60</f>
        <v>120</v>
      </c>
      <c r="L16" s="30">
        <f>29+36+40+120</f>
        <v>225</v>
      </c>
      <c r="M16" s="31">
        <f t="shared" si="1"/>
        <v>17.307692307692307</v>
      </c>
      <c r="N16" s="32" t="s">
        <v>17</v>
      </c>
    </row>
    <row r="17" spans="1:14" ht="141.75" customHeight="1" x14ac:dyDescent="0.25">
      <c r="A17" s="28">
        <v>11</v>
      </c>
      <c r="B17" s="16" t="s">
        <v>37</v>
      </c>
      <c r="C17" s="16" t="s">
        <v>152</v>
      </c>
      <c r="D17" s="22" t="s">
        <v>15</v>
      </c>
      <c r="E17" s="16" t="s">
        <v>152</v>
      </c>
      <c r="F17" s="18">
        <v>301136407</v>
      </c>
      <c r="G17" s="16" t="s">
        <v>16</v>
      </c>
      <c r="H17" s="17">
        <v>500000</v>
      </c>
      <c r="I17" s="29">
        <v>2600</v>
      </c>
      <c r="J17" s="26">
        <f t="shared" si="2"/>
        <v>200</v>
      </c>
      <c r="K17" s="17">
        <f>100000+100000+100000+100000</f>
        <v>400000</v>
      </c>
      <c r="L17" s="30">
        <f>453.6+444.4+424.5+448.9</f>
        <v>1771.4</v>
      </c>
      <c r="M17" s="31">
        <f t="shared" si="1"/>
        <v>136.26153846153846</v>
      </c>
      <c r="N17" s="32" t="s">
        <v>17</v>
      </c>
    </row>
    <row r="18" spans="1:14" ht="37.5" x14ac:dyDescent="0.25">
      <c r="A18" s="27">
        <v>12</v>
      </c>
      <c r="B18" s="16" t="s">
        <v>54</v>
      </c>
      <c r="C18" s="16" t="s">
        <v>39</v>
      </c>
      <c r="D18" s="22" t="s">
        <v>15</v>
      </c>
      <c r="E18" s="16" t="s">
        <v>39</v>
      </c>
      <c r="F18" s="18">
        <v>200802278</v>
      </c>
      <c r="G18" s="16" t="s">
        <v>22</v>
      </c>
      <c r="H18" s="17">
        <v>11000</v>
      </c>
      <c r="I18" s="16">
        <v>372.2</v>
      </c>
      <c r="J18" s="26">
        <f t="shared" si="2"/>
        <v>28.630769230769229</v>
      </c>
      <c r="K18" s="16">
        <f>1000+2000+2000+2000+2000+3000</f>
        <v>12000</v>
      </c>
      <c r="L18" s="30">
        <f>20.8+49.6+55.6+36.9+57.4+98.28</f>
        <v>318.58000000000004</v>
      </c>
      <c r="M18" s="31">
        <f t="shared" si="1"/>
        <v>24.50615384615385</v>
      </c>
      <c r="N18" s="32" t="s">
        <v>17</v>
      </c>
    </row>
    <row r="19" spans="1:14" ht="43.5" customHeight="1" x14ac:dyDescent="0.25">
      <c r="A19" s="27">
        <v>13</v>
      </c>
      <c r="B19" s="16" t="s">
        <v>55</v>
      </c>
      <c r="C19" s="16" t="s">
        <v>62</v>
      </c>
      <c r="D19" s="22" t="s">
        <v>15</v>
      </c>
      <c r="E19" s="16" t="s">
        <v>62</v>
      </c>
      <c r="F19" s="22" t="s">
        <v>63</v>
      </c>
      <c r="G19" s="16" t="s">
        <v>22</v>
      </c>
      <c r="H19" s="17">
        <v>10000</v>
      </c>
      <c r="I19" s="16">
        <v>204.06</v>
      </c>
      <c r="J19" s="26">
        <f t="shared" si="2"/>
        <v>15.696923076923078</v>
      </c>
      <c r="K19" s="16">
        <f>2000+1000+8000</f>
        <v>11000</v>
      </c>
      <c r="L19" s="30">
        <f>37.7+20.7+201.65</f>
        <v>260.05</v>
      </c>
      <c r="M19" s="31">
        <f t="shared" si="1"/>
        <v>20.003846153846155</v>
      </c>
      <c r="N19" s="32" t="s">
        <v>17</v>
      </c>
    </row>
    <row r="20" spans="1:14" ht="37.5" x14ac:dyDescent="0.25">
      <c r="A20" s="28">
        <v>14</v>
      </c>
      <c r="B20" s="16" t="s">
        <v>58</v>
      </c>
      <c r="C20" s="16" t="s">
        <v>48</v>
      </c>
      <c r="D20" s="22" t="s">
        <v>46</v>
      </c>
      <c r="E20" s="16" t="s">
        <v>48</v>
      </c>
      <c r="F20" s="18">
        <v>303092256</v>
      </c>
      <c r="G20" s="16" t="s">
        <v>40</v>
      </c>
      <c r="H20" s="17">
        <v>10000</v>
      </c>
      <c r="I20" s="29">
        <v>205</v>
      </c>
      <c r="J20" s="26">
        <f t="shared" ref="J20:J50" si="3">I20/13</f>
        <v>15.76923076923077</v>
      </c>
      <c r="K20" s="36"/>
      <c r="L20" s="29"/>
      <c r="M20" s="31">
        <f t="shared" si="1"/>
        <v>0</v>
      </c>
      <c r="N20" s="32" t="s">
        <v>17</v>
      </c>
    </row>
    <row r="21" spans="1:14" ht="37.5" x14ac:dyDescent="0.25">
      <c r="A21" s="27">
        <v>15</v>
      </c>
      <c r="B21" s="16" t="s">
        <v>59</v>
      </c>
      <c r="C21" s="16" t="s">
        <v>49</v>
      </c>
      <c r="D21" s="16" t="s">
        <v>46</v>
      </c>
      <c r="E21" s="16" t="s">
        <v>49</v>
      </c>
      <c r="F21" s="18">
        <v>309936520</v>
      </c>
      <c r="G21" s="16" t="s">
        <v>40</v>
      </c>
      <c r="H21" s="17">
        <v>15000</v>
      </c>
      <c r="I21" s="29">
        <v>337.35</v>
      </c>
      <c r="J21" s="26">
        <f t="shared" si="3"/>
        <v>25.950000000000003</v>
      </c>
      <c r="K21" s="36"/>
      <c r="L21" s="29"/>
      <c r="M21" s="31">
        <f t="shared" si="1"/>
        <v>0</v>
      </c>
      <c r="N21" s="32" t="s">
        <v>17</v>
      </c>
    </row>
    <row r="22" spans="1:14" ht="37.5" x14ac:dyDescent="0.25">
      <c r="A22" s="27">
        <v>16</v>
      </c>
      <c r="B22" s="16" t="s">
        <v>237</v>
      </c>
      <c r="C22" s="16" t="s">
        <v>48</v>
      </c>
      <c r="D22" s="22" t="s">
        <v>46</v>
      </c>
      <c r="E22" s="16" t="s">
        <v>48</v>
      </c>
      <c r="F22" s="18">
        <v>303092256</v>
      </c>
      <c r="G22" s="16" t="s">
        <v>40</v>
      </c>
      <c r="H22" s="17">
        <v>15000</v>
      </c>
      <c r="I22" s="29">
        <v>333.45</v>
      </c>
      <c r="J22" s="26">
        <f t="shared" si="3"/>
        <v>25.65</v>
      </c>
      <c r="K22" s="17">
        <f>3000+3000</f>
        <v>6000</v>
      </c>
      <c r="L22" s="29">
        <f>51.6+49.29</f>
        <v>100.89</v>
      </c>
      <c r="M22" s="31">
        <f t="shared" si="1"/>
        <v>7.7607692307692311</v>
      </c>
      <c r="N22" s="32" t="s">
        <v>17</v>
      </c>
    </row>
    <row r="23" spans="1:14" ht="60.75" customHeight="1" x14ac:dyDescent="0.25">
      <c r="A23" s="37">
        <v>17</v>
      </c>
      <c r="B23" s="39" t="s">
        <v>78</v>
      </c>
      <c r="C23" s="39" t="s">
        <v>66</v>
      </c>
      <c r="D23" s="71" t="s">
        <v>67</v>
      </c>
      <c r="E23" s="39" t="s">
        <v>66</v>
      </c>
      <c r="F23" s="11">
        <v>308771000</v>
      </c>
      <c r="G23" s="39" t="s">
        <v>38</v>
      </c>
      <c r="H23" s="42"/>
      <c r="I23" s="40"/>
      <c r="J23" s="41">
        <f t="shared" si="3"/>
        <v>0</v>
      </c>
      <c r="K23" s="42">
        <v>3</v>
      </c>
      <c r="L23" s="40">
        <v>900</v>
      </c>
      <c r="M23" s="12">
        <f t="shared" si="1"/>
        <v>69.230769230769226</v>
      </c>
      <c r="N23" s="10" t="s">
        <v>17</v>
      </c>
    </row>
    <row r="24" spans="1:14" ht="33" customHeight="1" x14ac:dyDescent="0.25">
      <c r="A24" s="38">
        <v>18</v>
      </c>
      <c r="B24" s="39" t="s">
        <v>72</v>
      </c>
      <c r="C24" s="39" t="s">
        <v>68</v>
      </c>
      <c r="D24" s="71" t="s">
        <v>15</v>
      </c>
      <c r="E24" s="39" t="s">
        <v>68</v>
      </c>
      <c r="F24" s="11">
        <v>301474715</v>
      </c>
      <c r="G24" s="39" t="s">
        <v>22</v>
      </c>
      <c r="H24" s="42"/>
      <c r="I24" s="40"/>
      <c r="J24" s="41">
        <f t="shared" si="3"/>
        <v>0</v>
      </c>
      <c r="K24" s="42">
        <v>105</v>
      </c>
      <c r="L24" s="40">
        <v>2.2799999999999998</v>
      </c>
      <c r="M24" s="12">
        <f t="shared" si="1"/>
        <v>0.17538461538461536</v>
      </c>
      <c r="N24" s="10" t="s">
        <v>17</v>
      </c>
    </row>
    <row r="25" spans="1:14" ht="37.5" x14ac:dyDescent="0.25">
      <c r="A25" s="38">
        <v>19</v>
      </c>
      <c r="B25" s="39" t="s">
        <v>47</v>
      </c>
      <c r="C25" s="39" t="s">
        <v>42</v>
      </c>
      <c r="D25" s="71" t="s">
        <v>15</v>
      </c>
      <c r="E25" s="39" t="s">
        <v>41</v>
      </c>
      <c r="F25" s="11">
        <v>206638699</v>
      </c>
      <c r="G25" s="39" t="s">
        <v>43</v>
      </c>
      <c r="H25" s="42"/>
      <c r="I25" s="40"/>
      <c r="J25" s="41">
        <f t="shared" si="3"/>
        <v>0</v>
      </c>
      <c r="K25" s="42">
        <f>400+102+2225+1.633+100+220+220+220+220+275+500+300+3050+250+300+450+350+100+3050+709</f>
        <v>13042.633</v>
      </c>
      <c r="L25" s="40">
        <f>21.7+17.74+379.76+23.07+55.48+39.9+24.9+16.4+15.3+5.02+2.3+15.67+2.5+4.6+16.96+15.57+499.116</f>
        <v>1155.9859999999999</v>
      </c>
      <c r="M25" s="12">
        <f t="shared" si="1"/>
        <v>88.921999999999997</v>
      </c>
      <c r="N25" s="10" t="s">
        <v>17</v>
      </c>
    </row>
    <row r="26" spans="1:14" ht="84.75" customHeight="1" x14ac:dyDescent="0.25">
      <c r="A26" s="37">
        <v>20</v>
      </c>
      <c r="B26" s="39" t="s">
        <v>74</v>
      </c>
      <c r="C26" s="39" t="s">
        <v>69</v>
      </c>
      <c r="D26" s="71" t="s">
        <v>15</v>
      </c>
      <c r="E26" s="39" t="s">
        <v>69</v>
      </c>
      <c r="F26" s="11">
        <v>201250751</v>
      </c>
      <c r="G26" s="39"/>
      <c r="H26" s="42"/>
      <c r="I26" s="40"/>
      <c r="J26" s="41">
        <f t="shared" si="3"/>
        <v>0</v>
      </c>
      <c r="K26" s="42">
        <v>1</v>
      </c>
      <c r="L26" s="40">
        <v>34.799999999999997</v>
      </c>
      <c r="M26" s="12">
        <f t="shared" si="1"/>
        <v>2.6769230769230767</v>
      </c>
      <c r="N26" s="10" t="s">
        <v>17</v>
      </c>
    </row>
    <row r="27" spans="1:14" ht="56.25" x14ac:dyDescent="0.25">
      <c r="A27" s="38">
        <v>21</v>
      </c>
      <c r="B27" s="39" t="s">
        <v>73</v>
      </c>
      <c r="C27" s="39" t="s">
        <v>70</v>
      </c>
      <c r="D27" s="71" t="s">
        <v>15</v>
      </c>
      <c r="E27" s="39" t="s">
        <v>70</v>
      </c>
      <c r="F27" s="11">
        <v>308411835</v>
      </c>
      <c r="G27" s="39"/>
      <c r="H27" s="42"/>
      <c r="I27" s="40"/>
      <c r="J27" s="41">
        <f t="shared" si="3"/>
        <v>0</v>
      </c>
      <c r="K27" s="42">
        <v>1</v>
      </c>
      <c r="L27" s="40">
        <v>86</v>
      </c>
      <c r="M27" s="12">
        <f t="shared" si="1"/>
        <v>6.615384615384615</v>
      </c>
      <c r="N27" s="10" t="s">
        <v>17</v>
      </c>
    </row>
    <row r="28" spans="1:14" ht="56.25" x14ac:dyDescent="0.25">
      <c r="A28" s="38">
        <v>22</v>
      </c>
      <c r="B28" s="39" t="s">
        <v>92</v>
      </c>
      <c r="C28" s="39" t="s">
        <v>71</v>
      </c>
      <c r="D28" s="71" t="s">
        <v>107</v>
      </c>
      <c r="E28" s="39" t="s">
        <v>71</v>
      </c>
      <c r="F28" s="11">
        <v>309758964</v>
      </c>
      <c r="G28" s="39" t="s">
        <v>22</v>
      </c>
      <c r="H28" s="42"/>
      <c r="I28" s="40"/>
      <c r="J28" s="41">
        <f t="shared" si="3"/>
        <v>0</v>
      </c>
      <c r="K28" s="42">
        <f>200+190+650+1000</f>
        <v>2040</v>
      </c>
      <c r="L28" s="40">
        <f>2.978+2.829+9.678+3.55</f>
        <v>19.035</v>
      </c>
      <c r="M28" s="12">
        <f t="shared" si="1"/>
        <v>1.4642307692307692</v>
      </c>
      <c r="N28" s="10" t="s">
        <v>17</v>
      </c>
    </row>
    <row r="29" spans="1:14" ht="37.5" x14ac:dyDescent="0.25">
      <c r="A29" s="37">
        <v>23</v>
      </c>
      <c r="B29" s="39" t="s">
        <v>61</v>
      </c>
      <c r="C29" s="39" t="s">
        <v>60</v>
      </c>
      <c r="D29" s="71" t="s">
        <v>15</v>
      </c>
      <c r="E29" s="39" t="s">
        <v>60</v>
      </c>
      <c r="F29" s="11">
        <v>306207693</v>
      </c>
      <c r="G29" s="39" t="s">
        <v>26</v>
      </c>
      <c r="H29" s="42"/>
      <c r="I29" s="40"/>
      <c r="J29" s="41">
        <f t="shared" si="3"/>
        <v>0</v>
      </c>
      <c r="K29" s="42">
        <f>4+5+1+1+5+5+5+10+10</f>
        <v>46</v>
      </c>
      <c r="L29" s="40">
        <f>72+90+18.2+18.5+90+90+90+180+180</f>
        <v>828.7</v>
      </c>
      <c r="M29" s="12">
        <f t="shared" si="1"/>
        <v>63.746153846153852</v>
      </c>
      <c r="N29" s="10" t="s">
        <v>17</v>
      </c>
    </row>
    <row r="30" spans="1:14" ht="37.5" x14ac:dyDescent="0.25">
      <c r="A30" s="38">
        <v>24</v>
      </c>
      <c r="B30" s="39" t="s">
        <v>30</v>
      </c>
      <c r="C30" s="39" t="s">
        <v>31</v>
      </c>
      <c r="D30" s="71" t="s">
        <v>15</v>
      </c>
      <c r="E30" s="39" t="s">
        <v>31</v>
      </c>
      <c r="F30" s="11">
        <v>301627673</v>
      </c>
      <c r="G30" s="39" t="s">
        <v>22</v>
      </c>
      <c r="H30" s="42"/>
      <c r="I30" s="40"/>
      <c r="J30" s="41">
        <f t="shared" si="3"/>
        <v>0</v>
      </c>
      <c r="K30" s="42">
        <f>1000+1000+1000</f>
        <v>3000</v>
      </c>
      <c r="L30" s="40">
        <f>19+43.9</f>
        <v>62.9</v>
      </c>
      <c r="M30" s="12">
        <f t="shared" si="1"/>
        <v>4.8384615384615381</v>
      </c>
      <c r="N30" s="10" t="s">
        <v>17</v>
      </c>
    </row>
    <row r="31" spans="1:14" ht="31.5" customHeight="1" x14ac:dyDescent="0.25">
      <c r="A31" s="38">
        <v>25</v>
      </c>
      <c r="B31" s="39" t="s">
        <v>51</v>
      </c>
      <c r="C31" s="39" t="s">
        <v>50</v>
      </c>
      <c r="D31" s="71" t="s">
        <v>46</v>
      </c>
      <c r="E31" s="39" t="s">
        <v>50</v>
      </c>
      <c r="F31" s="11">
        <v>202298532</v>
      </c>
      <c r="G31" s="39" t="s">
        <v>16</v>
      </c>
      <c r="H31" s="42"/>
      <c r="I31" s="40"/>
      <c r="J31" s="41">
        <f t="shared" si="3"/>
        <v>0</v>
      </c>
      <c r="K31" s="42">
        <f>1+1</f>
        <v>2</v>
      </c>
      <c r="L31" s="40">
        <f>2.934+0.999</f>
        <v>3.9330000000000003</v>
      </c>
      <c r="M31" s="12">
        <f t="shared" si="1"/>
        <v>0.30253846153846153</v>
      </c>
      <c r="N31" s="10" t="s">
        <v>17</v>
      </c>
    </row>
    <row r="32" spans="1:14" ht="37.5" x14ac:dyDescent="0.25">
      <c r="A32" s="37">
        <v>26</v>
      </c>
      <c r="B32" s="39" t="s">
        <v>76</v>
      </c>
      <c r="C32" s="39" t="s">
        <v>75</v>
      </c>
      <c r="D32" s="71" t="s">
        <v>77</v>
      </c>
      <c r="E32" s="39" t="s">
        <v>75</v>
      </c>
      <c r="F32" s="11">
        <v>303707334</v>
      </c>
      <c r="G32" s="39" t="s">
        <v>22</v>
      </c>
      <c r="H32" s="42"/>
      <c r="I32" s="40"/>
      <c r="J32" s="41">
        <f t="shared" si="3"/>
        <v>0</v>
      </c>
      <c r="K32" s="42">
        <f>10000+2000</f>
        <v>12000</v>
      </c>
      <c r="L32" s="40">
        <f>60+140</f>
        <v>200</v>
      </c>
      <c r="M32" s="12">
        <f t="shared" si="1"/>
        <v>15.384615384615385</v>
      </c>
      <c r="N32" s="10" t="s">
        <v>17</v>
      </c>
    </row>
    <row r="33" spans="1:14" ht="37.5" x14ac:dyDescent="0.25">
      <c r="A33" s="38">
        <v>27</v>
      </c>
      <c r="B33" s="39" t="s">
        <v>82</v>
      </c>
      <c r="C33" s="39" t="s">
        <v>81</v>
      </c>
      <c r="D33" s="71" t="s">
        <v>15</v>
      </c>
      <c r="E33" s="39" t="s">
        <v>81</v>
      </c>
      <c r="F33" s="11">
        <v>308490629</v>
      </c>
      <c r="G33" s="39" t="s">
        <v>22</v>
      </c>
      <c r="H33" s="42"/>
      <c r="I33" s="40"/>
      <c r="J33" s="41">
        <f t="shared" si="3"/>
        <v>0</v>
      </c>
      <c r="K33" s="42">
        <f>130+300+400+400+300+100+100+300</f>
        <v>2030</v>
      </c>
      <c r="L33" s="50">
        <f>1.92+5.4+7.8+7.2+5.7+1.7+1.8+5.2</f>
        <v>36.72</v>
      </c>
      <c r="M33" s="49">
        <f t="shared" si="1"/>
        <v>2.8246153846153845</v>
      </c>
      <c r="N33" s="10" t="s">
        <v>17</v>
      </c>
    </row>
    <row r="34" spans="1:14" ht="37.5" x14ac:dyDescent="0.25">
      <c r="A34" s="38">
        <v>28</v>
      </c>
      <c r="B34" s="39" t="s">
        <v>128</v>
      </c>
      <c r="C34" s="39" t="s">
        <v>81</v>
      </c>
      <c r="D34" s="71" t="s">
        <v>15</v>
      </c>
      <c r="E34" s="39" t="s">
        <v>81</v>
      </c>
      <c r="F34" s="11">
        <v>308490629</v>
      </c>
      <c r="G34" s="39" t="s">
        <v>22</v>
      </c>
      <c r="H34" s="42"/>
      <c r="I34" s="40"/>
      <c r="J34" s="41">
        <f t="shared" ref="J34" si="4">I34/13</f>
        <v>0</v>
      </c>
      <c r="K34" s="42">
        <f>2000+1000+10000</f>
        <v>13000</v>
      </c>
      <c r="L34" s="50">
        <f>2.4+1.3+12.01</f>
        <v>15.71</v>
      </c>
      <c r="M34" s="49">
        <f t="shared" si="1"/>
        <v>1.2084615384615385</v>
      </c>
      <c r="N34" s="10" t="s">
        <v>17</v>
      </c>
    </row>
    <row r="35" spans="1:14" ht="37.5" x14ac:dyDescent="0.25">
      <c r="A35" s="37">
        <v>29</v>
      </c>
      <c r="B35" s="39" t="s">
        <v>84</v>
      </c>
      <c r="C35" s="39" t="s">
        <v>83</v>
      </c>
      <c r="D35" s="71" t="s">
        <v>15</v>
      </c>
      <c r="E35" s="39" t="s">
        <v>83</v>
      </c>
      <c r="F35" s="11">
        <v>311190179</v>
      </c>
      <c r="G35" s="39"/>
      <c r="H35" s="42"/>
      <c r="I35" s="40"/>
      <c r="J35" s="41">
        <f t="shared" si="3"/>
        <v>0</v>
      </c>
      <c r="K35" s="42">
        <v>1</v>
      </c>
      <c r="L35" s="40">
        <v>19.55</v>
      </c>
      <c r="M35" s="12">
        <f t="shared" si="1"/>
        <v>1.5038461538461538</v>
      </c>
      <c r="N35" s="10" t="s">
        <v>17</v>
      </c>
    </row>
    <row r="36" spans="1:14" ht="37.5" x14ac:dyDescent="0.25">
      <c r="A36" s="38">
        <v>30</v>
      </c>
      <c r="B36" s="39" t="s">
        <v>86</v>
      </c>
      <c r="C36" s="39" t="s">
        <v>85</v>
      </c>
      <c r="D36" s="71" t="s">
        <v>87</v>
      </c>
      <c r="E36" s="39" t="s">
        <v>85</v>
      </c>
      <c r="F36" s="11">
        <v>301841170</v>
      </c>
      <c r="G36" s="39" t="s">
        <v>26</v>
      </c>
      <c r="H36" s="42"/>
      <c r="I36" s="40"/>
      <c r="J36" s="41">
        <f t="shared" si="3"/>
        <v>0</v>
      </c>
      <c r="K36" s="42">
        <f>25+25</f>
        <v>50</v>
      </c>
      <c r="L36" s="40">
        <f>17.22+18.2</f>
        <v>35.42</v>
      </c>
      <c r="M36" s="12">
        <f t="shared" si="1"/>
        <v>2.7246153846153849</v>
      </c>
      <c r="N36" s="10" t="s">
        <v>17</v>
      </c>
    </row>
    <row r="37" spans="1:14" ht="56.25" x14ac:dyDescent="0.25">
      <c r="A37" s="38">
        <v>31</v>
      </c>
      <c r="B37" s="39" t="s">
        <v>146</v>
      </c>
      <c r="C37" s="39" t="s">
        <v>90</v>
      </c>
      <c r="D37" s="71" t="s">
        <v>15</v>
      </c>
      <c r="E37" s="39" t="s">
        <v>90</v>
      </c>
      <c r="F37" s="11">
        <v>308532029</v>
      </c>
      <c r="G37" s="39" t="s">
        <v>22</v>
      </c>
      <c r="H37" s="42"/>
      <c r="I37" s="40"/>
      <c r="J37" s="41">
        <f t="shared" si="3"/>
        <v>0</v>
      </c>
      <c r="K37" s="42">
        <f>4000+160+1200+600+100+1000+500+500+1000</f>
        <v>9060</v>
      </c>
      <c r="L37" s="40">
        <f>15.6+1.7+26.4+13.2+22+5.99+11+18</f>
        <v>113.89</v>
      </c>
      <c r="M37" s="12">
        <f t="shared" si="1"/>
        <v>8.7607692307692311</v>
      </c>
      <c r="N37" s="10" t="s">
        <v>17</v>
      </c>
    </row>
    <row r="38" spans="1:14" ht="27" customHeight="1" x14ac:dyDescent="0.25">
      <c r="A38" s="37">
        <v>32</v>
      </c>
      <c r="B38" s="39" t="s">
        <v>94</v>
      </c>
      <c r="C38" s="39" t="s">
        <v>93</v>
      </c>
      <c r="D38" s="71" t="s">
        <v>104</v>
      </c>
      <c r="E38" s="39" t="s">
        <v>93</v>
      </c>
      <c r="F38" s="11">
        <v>309843749</v>
      </c>
      <c r="G38" s="39" t="s">
        <v>16</v>
      </c>
      <c r="H38" s="42"/>
      <c r="I38" s="40"/>
      <c r="J38" s="41">
        <f t="shared" si="3"/>
        <v>0</v>
      </c>
      <c r="K38" s="42">
        <v>3</v>
      </c>
      <c r="L38" s="40">
        <v>59.13</v>
      </c>
      <c r="M38" s="12">
        <f t="shared" si="1"/>
        <v>4.548461538461539</v>
      </c>
      <c r="N38" s="10" t="s">
        <v>17</v>
      </c>
    </row>
    <row r="39" spans="1:14" ht="36.75" customHeight="1" x14ac:dyDescent="0.25">
      <c r="A39" s="38">
        <v>33</v>
      </c>
      <c r="B39" s="39" t="s">
        <v>96</v>
      </c>
      <c r="C39" s="39" t="s">
        <v>95</v>
      </c>
      <c r="D39" s="71" t="s">
        <v>46</v>
      </c>
      <c r="E39" s="39" t="s">
        <v>95</v>
      </c>
      <c r="F39" s="11">
        <v>200609152</v>
      </c>
      <c r="G39" s="39" t="s">
        <v>97</v>
      </c>
      <c r="H39" s="42"/>
      <c r="I39" s="40"/>
      <c r="J39" s="41">
        <f t="shared" si="3"/>
        <v>0</v>
      </c>
      <c r="K39" s="42">
        <f>1500+2000+2000</f>
        <v>5500</v>
      </c>
      <c r="L39" s="40">
        <f>15.96+21.28+21.28</f>
        <v>58.52</v>
      </c>
      <c r="M39" s="12">
        <f t="shared" si="1"/>
        <v>4.5015384615384617</v>
      </c>
      <c r="N39" s="10" t="s">
        <v>17</v>
      </c>
    </row>
    <row r="40" spans="1:14" ht="37.5" x14ac:dyDescent="0.25">
      <c r="A40" s="38">
        <v>34</v>
      </c>
      <c r="B40" s="39" t="s">
        <v>99</v>
      </c>
      <c r="C40" s="39" t="s">
        <v>98</v>
      </c>
      <c r="D40" s="71" t="s">
        <v>106</v>
      </c>
      <c r="E40" s="39" t="s">
        <v>98</v>
      </c>
      <c r="F40" s="11">
        <v>202439427</v>
      </c>
      <c r="G40" s="39" t="s">
        <v>16</v>
      </c>
      <c r="H40" s="42"/>
      <c r="I40" s="40"/>
      <c r="J40" s="41">
        <f t="shared" si="3"/>
        <v>0</v>
      </c>
      <c r="K40" s="42">
        <v>1000</v>
      </c>
      <c r="L40" s="40">
        <v>40</v>
      </c>
      <c r="M40" s="12">
        <f t="shared" si="1"/>
        <v>3.0769230769230771</v>
      </c>
      <c r="N40" s="10" t="s">
        <v>17</v>
      </c>
    </row>
    <row r="41" spans="1:14" ht="37.5" x14ac:dyDescent="0.25">
      <c r="A41" s="37">
        <v>35</v>
      </c>
      <c r="B41" s="39" t="s">
        <v>101</v>
      </c>
      <c r="C41" s="39" t="s">
        <v>102</v>
      </c>
      <c r="D41" s="71" t="s">
        <v>15</v>
      </c>
      <c r="E41" s="39" t="s">
        <v>100</v>
      </c>
      <c r="F41" s="11">
        <v>312003448</v>
      </c>
      <c r="G41" s="39" t="s">
        <v>103</v>
      </c>
      <c r="H41" s="42"/>
      <c r="I41" s="40"/>
      <c r="J41" s="41">
        <f t="shared" si="3"/>
        <v>0</v>
      </c>
      <c r="K41" s="42">
        <v>1300</v>
      </c>
      <c r="L41" s="40">
        <v>2090.4</v>
      </c>
      <c r="M41" s="12">
        <f t="shared" si="1"/>
        <v>160.80000000000001</v>
      </c>
      <c r="N41" s="10" t="s">
        <v>17</v>
      </c>
    </row>
    <row r="42" spans="1:14" ht="37.5" x14ac:dyDescent="0.25">
      <c r="A42" s="38">
        <v>36</v>
      </c>
      <c r="B42" s="39" t="s">
        <v>109</v>
      </c>
      <c r="C42" s="39" t="s">
        <v>108</v>
      </c>
      <c r="D42" s="71" t="s">
        <v>46</v>
      </c>
      <c r="E42" s="39" t="s">
        <v>108</v>
      </c>
      <c r="F42" s="11">
        <v>305913917</v>
      </c>
      <c r="G42" s="39" t="s">
        <v>16</v>
      </c>
      <c r="H42" s="42"/>
      <c r="I42" s="40"/>
      <c r="J42" s="41">
        <f t="shared" si="3"/>
        <v>0</v>
      </c>
      <c r="K42" s="42">
        <v>500</v>
      </c>
      <c r="L42" s="40">
        <v>1209.9000000000001</v>
      </c>
      <c r="M42" s="52">
        <f t="shared" si="1"/>
        <v>93.069230769230771</v>
      </c>
      <c r="N42" s="10" t="s">
        <v>17</v>
      </c>
    </row>
    <row r="43" spans="1:14" ht="37.5" x14ac:dyDescent="0.25">
      <c r="A43" s="38">
        <v>37</v>
      </c>
      <c r="B43" s="39" t="s">
        <v>111</v>
      </c>
      <c r="C43" s="39" t="s">
        <v>110</v>
      </c>
      <c r="D43" s="71" t="s">
        <v>15</v>
      </c>
      <c r="E43" s="39" t="s">
        <v>110</v>
      </c>
      <c r="F43" s="11">
        <v>304757534</v>
      </c>
      <c r="G43" s="39" t="s">
        <v>22</v>
      </c>
      <c r="H43" s="42"/>
      <c r="I43" s="40"/>
      <c r="J43" s="41">
        <f t="shared" si="3"/>
        <v>0</v>
      </c>
      <c r="K43" s="42">
        <v>100</v>
      </c>
      <c r="L43" s="40">
        <v>33.6</v>
      </c>
      <c r="M43" s="52">
        <f t="shared" si="1"/>
        <v>2.5846153846153848</v>
      </c>
      <c r="N43" s="10" t="s">
        <v>17</v>
      </c>
    </row>
    <row r="44" spans="1:14" ht="29.25" customHeight="1" x14ac:dyDescent="0.25">
      <c r="A44" s="37">
        <v>38</v>
      </c>
      <c r="B44" s="39" t="s">
        <v>113</v>
      </c>
      <c r="C44" s="39" t="s">
        <v>112</v>
      </c>
      <c r="D44" s="71" t="s">
        <v>15</v>
      </c>
      <c r="E44" s="39" t="s">
        <v>112</v>
      </c>
      <c r="F44" s="11">
        <v>311388706</v>
      </c>
      <c r="G44" s="39"/>
      <c r="H44" s="42"/>
      <c r="I44" s="40"/>
      <c r="J44" s="41">
        <f t="shared" si="3"/>
        <v>0</v>
      </c>
      <c r="K44" s="42">
        <v>1</v>
      </c>
      <c r="L44" s="40">
        <v>25</v>
      </c>
      <c r="M44" s="52">
        <f t="shared" si="1"/>
        <v>1.9230769230769231</v>
      </c>
      <c r="N44" s="10" t="s">
        <v>17</v>
      </c>
    </row>
    <row r="45" spans="1:14" ht="37.5" x14ac:dyDescent="0.25">
      <c r="A45" s="38">
        <v>39</v>
      </c>
      <c r="B45" s="39" t="s">
        <v>115</v>
      </c>
      <c r="C45" s="39" t="s">
        <v>114</v>
      </c>
      <c r="D45" s="71" t="s">
        <v>46</v>
      </c>
      <c r="E45" s="39" t="s">
        <v>114</v>
      </c>
      <c r="F45" s="11">
        <v>305640387</v>
      </c>
      <c r="G45" s="39" t="s">
        <v>116</v>
      </c>
      <c r="H45" s="42"/>
      <c r="I45" s="40"/>
      <c r="J45" s="41">
        <f t="shared" si="3"/>
        <v>0</v>
      </c>
      <c r="K45" s="42">
        <f>5000+5000+20000+20000+68333+14306</f>
        <v>132639</v>
      </c>
      <c r="L45" s="40">
        <f>55.1+234.9+719.9+839.9+2821.58+146.21</f>
        <v>4817.59</v>
      </c>
      <c r="M45" s="52">
        <f t="shared" si="1"/>
        <v>370.58384615384614</v>
      </c>
      <c r="N45" s="10" t="s">
        <v>17</v>
      </c>
    </row>
    <row r="46" spans="1:14" ht="37.5" x14ac:dyDescent="0.25">
      <c r="A46" s="38">
        <v>40</v>
      </c>
      <c r="B46" s="39" t="s">
        <v>118</v>
      </c>
      <c r="C46" s="39" t="s">
        <v>117</v>
      </c>
      <c r="D46" s="71" t="s">
        <v>119</v>
      </c>
      <c r="E46" s="39" t="s">
        <v>117</v>
      </c>
      <c r="F46" s="11">
        <v>307106011</v>
      </c>
      <c r="G46" s="39" t="s">
        <v>26</v>
      </c>
      <c r="H46" s="42"/>
      <c r="I46" s="40"/>
      <c r="J46" s="41">
        <f t="shared" si="3"/>
        <v>0</v>
      </c>
      <c r="K46" s="42">
        <v>2</v>
      </c>
      <c r="L46" s="40">
        <v>2.9</v>
      </c>
      <c r="M46" s="52">
        <f t="shared" si="1"/>
        <v>0.22307692307692306</v>
      </c>
      <c r="N46" s="10" t="s">
        <v>17</v>
      </c>
    </row>
    <row r="47" spans="1:14" ht="37.5" x14ac:dyDescent="0.25">
      <c r="A47" s="38">
        <v>42</v>
      </c>
      <c r="B47" s="39" t="s">
        <v>168</v>
      </c>
      <c r="C47" s="39" t="s">
        <v>121</v>
      </c>
      <c r="D47" s="71" t="s">
        <v>122</v>
      </c>
      <c r="E47" s="39" t="s">
        <v>121</v>
      </c>
      <c r="F47" s="11">
        <v>301362063</v>
      </c>
      <c r="G47" s="39" t="s">
        <v>16</v>
      </c>
      <c r="H47" s="42"/>
      <c r="I47" s="40"/>
      <c r="J47" s="41">
        <v>0</v>
      </c>
      <c r="K47" s="42">
        <f>15+200</f>
        <v>215</v>
      </c>
      <c r="L47" s="40">
        <f>1.12+19</f>
        <v>20.12</v>
      </c>
      <c r="M47" s="52">
        <f t="shared" si="1"/>
        <v>1.5476923076923077</v>
      </c>
      <c r="N47" s="10" t="s">
        <v>17</v>
      </c>
    </row>
    <row r="48" spans="1:14" ht="37.5" x14ac:dyDescent="0.25">
      <c r="A48" s="38">
        <v>43</v>
      </c>
      <c r="B48" s="39" t="s">
        <v>204</v>
      </c>
      <c r="C48" s="39" t="s">
        <v>123</v>
      </c>
      <c r="D48" s="71" t="s">
        <v>46</v>
      </c>
      <c r="E48" s="39" t="s">
        <v>123</v>
      </c>
      <c r="F48" s="11">
        <v>204973879</v>
      </c>
      <c r="G48" s="39" t="s">
        <v>22</v>
      </c>
      <c r="H48" s="42"/>
      <c r="I48" s="40"/>
      <c r="J48" s="41">
        <v>0</v>
      </c>
      <c r="K48" s="42">
        <f>1000+1000+1400+3400</f>
        <v>6800</v>
      </c>
      <c r="L48" s="40">
        <f>53.55+59.5+75+205</f>
        <v>393.05</v>
      </c>
      <c r="M48" s="52">
        <f t="shared" si="1"/>
        <v>30.234615384615385</v>
      </c>
      <c r="N48" s="10" t="s">
        <v>17</v>
      </c>
    </row>
    <row r="49" spans="1:14" ht="56.25" x14ac:dyDescent="0.25">
      <c r="A49" s="37">
        <v>44</v>
      </c>
      <c r="B49" s="39" t="s">
        <v>125</v>
      </c>
      <c r="C49" s="39" t="s">
        <v>124</v>
      </c>
      <c r="D49" s="71" t="s">
        <v>122</v>
      </c>
      <c r="E49" s="39" t="s">
        <v>124</v>
      </c>
      <c r="F49" s="11">
        <v>309499392</v>
      </c>
      <c r="G49" s="39" t="s">
        <v>126</v>
      </c>
      <c r="H49" s="42"/>
      <c r="I49" s="40"/>
      <c r="J49" s="41">
        <v>0</v>
      </c>
      <c r="K49" s="42">
        <v>1</v>
      </c>
      <c r="L49" s="40">
        <v>388</v>
      </c>
      <c r="M49" s="52">
        <f t="shared" si="1"/>
        <v>29.846153846153847</v>
      </c>
      <c r="N49" s="10" t="s">
        <v>17</v>
      </c>
    </row>
    <row r="50" spans="1:14" ht="93.75" x14ac:dyDescent="0.25">
      <c r="A50" s="38">
        <v>45</v>
      </c>
      <c r="B50" s="62" t="s">
        <v>171</v>
      </c>
      <c r="C50" s="62" t="s">
        <v>127</v>
      </c>
      <c r="D50" s="75" t="s">
        <v>122</v>
      </c>
      <c r="E50" s="62" t="s">
        <v>127</v>
      </c>
      <c r="F50" s="63">
        <v>204096244</v>
      </c>
      <c r="G50" s="62" t="s">
        <v>16</v>
      </c>
      <c r="H50" s="64"/>
      <c r="I50" s="65"/>
      <c r="J50" s="66">
        <f t="shared" si="3"/>
        <v>0</v>
      </c>
      <c r="K50" s="64">
        <f>100+60+7</f>
        <v>167</v>
      </c>
      <c r="L50" s="65">
        <f>20.2+41.4+1.14</f>
        <v>62.739999999999995</v>
      </c>
      <c r="M50" s="67">
        <f t="shared" si="1"/>
        <v>4.8261538461538454</v>
      </c>
      <c r="N50" s="10" t="s">
        <v>17</v>
      </c>
    </row>
    <row r="51" spans="1:14" ht="37.5" x14ac:dyDescent="0.25">
      <c r="A51" s="38">
        <v>46</v>
      </c>
      <c r="B51" s="39" t="s">
        <v>130</v>
      </c>
      <c r="C51" s="39" t="s">
        <v>129</v>
      </c>
      <c r="D51" s="71" t="s">
        <v>131</v>
      </c>
      <c r="E51" s="39" t="s">
        <v>129</v>
      </c>
      <c r="F51" s="11">
        <v>304391492</v>
      </c>
      <c r="G51" s="39" t="s">
        <v>132</v>
      </c>
      <c r="H51" s="42"/>
      <c r="I51" s="40"/>
      <c r="J51" s="41">
        <v>0</v>
      </c>
      <c r="K51" s="42">
        <v>2378</v>
      </c>
      <c r="L51" s="40">
        <v>49.9</v>
      </c>
      <c r="M51" s="52">
        <f t="shared" si="1"/>
        <v>3.8384615384615381</v>
      </c>
      <c r="N51" s="10" t="s">
        <v>17</v>
      </c>
    </row>
    <row r="52" spans="1:14" ht="37.5" x14ac:dyDescent="0.25">
      <c r="A52" s="37">
        <v>47</v>
      </c>
      <c r="B52" s="39" t="s">
        <v>135</v>
      </c>
      <c r="C52" s="39" t="s">
        <v>133</v>
      </c>
      <c r="D52" s="71" t="s">
        <v>134</v>
      </c>
      <c r="E52" s="39" t="s">
        <v>133</v>
      </c>
      <c r="F52" s="11">
        <v>311122371</v>
      </c>
      <c r="G52" s="39" t="s">
        <v>22</v>
      </c>
      <c r="H52" s="42"/>
      <c r="I52" s="40"/>
      <c r="J52" s="41">
        <v>0</v>
      </c>
      <c r="K52" s="42">
        <f>250+50</f>
        <v>300</v>
      </c>
      <c r="L52" s="40">
        <f>2.7+0.5</f>
        <v>3.2</v>
      </c>
      <c r="M52" s="52">
        <f t="shared" si="1"/>
        <v>0.24615384615384617</v>
      </c>
      <c r="N52" s="10" t="s">
        <v>17</v>
      </c>
    </row>
    <row r="53" spans="1:14" ht="37.5" x14ac:dyDescent="0.25">
      <c r="A53" s="38">
        <v>48</v>
      </c>
      <c r="B53" s="39" t="s">
        <v>138</v>
      </c>
      <c r="C53" s="39" t="s">
        <v>136</v>
      </c>
      <c r="D53" s="71" t="s">
        <v>137</v>
      </c>
      <c r="E53" s="39" t="s">
        <v>136</v>
      </c>
      <c r="F53" s="11">
        <v>312623318</v>
      </c>
      <c r="G53" s="39" t="s">
        <v>132</v>
      </c>
      <c r="H53" s="42"/>
      <c r="I53" s="40"/>
      <c r="J53" s="41">
        <v>0</v>
      </c>
      <c r="K53" s="42">
        <v>1</v>
      </c>
      <c r="L53" s="40">
        <v>41</v>
      </c>
      <c r="M53" s="52">
        <f t="shared" si="1"/>
        <v>3.1538461538461537</v>
      </c>
      <c r="N53" s="10" t="s">
        <v>17</v>
      </c>
    </row>
    <row r="54" spans="1:14" ht="56.25" x14ac:dyDescent="0.25">
      <c r="A54" s="38">
        <v>49</v>
      </c>
      <c r="B54" s="39" t="s">
        <v>140</v>
      </c>
      <c r="C54" s="39" t="s">
        <v>139</v>
      </c>
      <c r="D54" s="71" t="s">
        <v>107</v>
      </c>
      <c r="E54" s="39" t="s">
        <v>139</v>
      </c>
      <c r="F54" s="11">
        <v>309472768</v>
      </c>
      <c r="G54" s="39" t="s">
        <v>132</v>
      </c>
      <c r="H54" s="42"/>
      <c r="I54" s="40"/>
      <c r="J54" s="41">
        <v>0</v>
      </c>
      <c r="K54" s="42">
        <f>5+1+1+1+1+1</f>
        <v>10</v>
      </c>
      <c r="L54" s="40">
        <f>29+6.3+5.5+6.8+7.3+5.7</f>
        <v>60.599999999999994</v>
      </c>
      <c r="M54" s="52">
        <f t="shared" si="1"/>
        <v>4.661538461538461</v>
      </c>
      <c r="N54" s="10" t="s">
        <v>17</v>
      </c>
    </row>
    <row r="55" spans="1:14" ht="37.5" x14ac:dyDescent="0.25">
      <c r="A55" s="37">
        <v>50</v>
      </c>
      <c r="B55" s="39" t="s">
        <v>141</v>
      </c>
      <c r="C55" s="39" t="s">
        <v>142</v>
      </c>
      <c r="D55" s="71" t="s">
        <v>107</v>
      </c>
      <c r="E55" s="39" t="s">
        <v>142</v>
      </c>
      <c r="F55" s="11">
        <v>306810467</v>
      </c>
      <c r="G55" s="39" t="s">
        <v>26</v>
      </c>
      <c r="H55" s="42"/>
      <c r="I55" s="40"/>
      <c r="J55" s="41">
        <v>0</v>
      </c>
      <c r="K55" s="42">
        <f>1+1</f>
        <v>2</v>
      </c>
      <c r="L55" s="40">
        <f>63+0.06</f>
        <v>63.06</v>
      </c>
      <c r="M55" s="52">
        <f t="shared" si="1"/>
        <v>4.8507692307692309</v>
      </c>
      <c r="N55" s="10" t="s">
        <v>17</v>
      </c>
    </row>
    <row r="56" spans="1:14" ht="37.5" x14ac:dyDescent="0.25">
      <c r="A56" s="38">
        <v>51</v>
      </c>
      <c r="B56" s="39" t="s">
        <v>120</v>
      </c>
      <c r="C56" s="39" t="s">
        <v>143</v>
      </c>
      <c r="D56" s="71" t="s">
        <v>134</v>
      </c>
      <c r="E56" s="39" t="s">
        <v>143</v>
      </c>
      <c r="F56" s="11">
        <v>311372434</v>
      </c>
      <c r="G56" s="39" t="s">
        <v>22</v>
      </c>
      <c r="H56" s="42"/>
      <c r="I56" s="40"/>
      <c r="J56" s="41">
        <v>0</v>
      </c>
      <c r="K56" s="42">
        <f>6000+4000+7000+6000</f>
        <v>23000</v>
      </c>
      <c r="L56" s="40">
        <f>33+40.8+52.5+64.8</f>
        <v>191.1</v>
      </c>
      <c r="M56" s="52">
        <f t="shared" si="1"/>
        <v>14.7</v>
      </c>
      <c r="N56" s="10" t="s">
        <v>17</v>
      </c>
    </row>
    <row r="57" spans="1:14" ht="37.5" x14ac:dyDescent="0.25">
      <c r="A57" s="38">
        <v>52</v>
      </c>
      <c r="B57" s="39" t="s">
        <v>145</v>
      </c>
      <c r="C57" s="39" t="s">
        <v>144</v>
      </c>
      <c r="D57" s="71" t="s">
        <v>46</v>
      </c>
      <c r="E57" s="39" t="s">
        <v>144</v>
      </c>
      <c r="F57" s="11">
        <v>304545251</v>
      </c>
      <c r="G57" s="39" t="s">
        <v>16</v>
      </c>
      <c r="H57" s="42"/>
      <c r="I57" s="40"/>
      <c r="J57" s="41">
        <v>0</v>
      </c>
      <c r="K57" s="42">
        <v>1</v>
      </c>
      <c r="L57" s="40">
        <v>1265.5999999999999</v>
      </c>
      <c r="M57" s="52">
        <f t="shared" si="1"/>
        <v>97.353846153846149</v>
      </c>
      <c r="N57" s="10" t="s">
        <v>17</v>
      </c>
    </row>
    <row r="58" spans="1:14" ht="56.25" x14ac:dyDescent="0.25">
      <c r="A58" s="37">
        <v>53</v>
      </c>
      <c r="B58" s="39" t="s">
        <v>191</v>
      </c>
      <c r="C58" s="39" t="s">
        <v>147</v>
      </c>
      <c r="D58" s="71" t="s">
        <v>46</v>
      </c>
      <c r="E58" s="39" t="s">
        <v>147</v>
      </c>
      <c r="F58" s="11">
        <v>306858501</v>
      </c>
      <c r="G58" s="39" t="s">
        <v>16</v>
      </c>
      <c r="H58" s="42"/>
      <c r="I58" s="40"/>
      <c r="J58" s="41">
        <v>0</v>
      </c>
      <c r="K58" s="42">
        <f>1+1</f>
        <v>2</v>
      </c>
      <c r="L58" s="40">
        <f>930+3174</f>
        <v>4104</v>
      </c>
      <c r="M58" s="52">
        <f t="shared" si="1"/>
        <v>315.69230769230768</v>
      </c>
      <c r="N58" s="10" t="s">
        <v>17</v>
      </c>
    </row>
    <row r="59" spans="1:14" ht="56.25" x14ac:dyDescent="0.25">
      <c r="A59" s="38">
        <v>54</v>
      </c>
      <c r="B59" s="39" t="s">
        <v>149</v>
      </c>
      <c r="C59" s="39" t="s">
        <v>148</v>
      </c>
      <c r="D59" s="71" t="s">
        <v>137</v>
      </c>
      <c r="E59" s="39" t="s">
        <v>148</v>
      </c>
      <c r="F59" s="11">
        <v>305672276</v>
      </c>
      <c r="G59" s="39" t="s">
        <v>16</v>
      </c>
      <c r="H59" s="42"/>
      <c r="I59" s="40"/>
      <c r="J59" s="41">
        <v>0</v>
      </c>
      <c r="K59" s="42">
        <v>1</v>
      </c>
      <c r="L59" s="40">
        <v>139</v>
      </c>
      <c r="M59" s="52">
        <f t="shared" si="1"/>
        <v>10.692307692307692</v>
      </c>
      <c r="N59" s="10" t="s">
        <v>17</v>
      </c>
    </row>
    <row r="60" spans="1:14" ht="37.5" x14ac:dyDescent="0.25">
      <c r="A60" s="38">
        <v>55</v>
      </c>
      <c r="B60" s="39" t="s">
        <v>151</v>
      </c>
      <c r="C60" s="39" t="s">
        <v>150</v>
      </c>
      <c r="D60" s="71" t="s">
        <v>137</v>
      </c>
      <c r="E60" s="39" t="s">
        <v>150</v>
      </c>
      <c r="F60" s="11">
        <v>300078131</v>
      </c>
      <c r="G60" s="39" t="s">
        <v>16</v>
      </c>
      <c r="H60" s="42"/>
      <c r="I60" s="40"/>
      <c r="J60" s="41">
        <v>0</v>
      </c>
      <c r="K60" s="42">
        <f>1720+1720</f>
        <v>3440</v>
      </c>
      <c r="L60" s="40">
        <f>2907.32+2907.32</f>
        <v>5814.64</v>
      </c>
      <c r="M60" s="52">
        <f t="shared" si="1"/>
        <v>447.28000000000003</v>
      </c>
      <c r="N60" s="10" t="s">
        <v>17</v>
      </c>
    </row>
    <row r="61" spans="1:14" ht="48" customHeight="1" x14ac:dyDescent="0.25">
      <c r="A61" s="37">
        <v>56</v>
      </c>
      <c r="B61" s="39" t="s">
        <v>236</v>
      </c>
      <c r="C61" s="39" t="s">
        <v>153</v>
      </c>
      <c r="D61" s="71" t="s">
        <v>137</v>
      </c>
      <c r="E61" s="39" t="s">
        <v>153</v>
      </c>
      <c r="F61" s="11">
        <v>311851336</v>
      </c>
      <c r="G61" s="39" t="s">
        <v>16</v>
      </c>
      <c r="H61" s="42"/>
      <c r="I61" s="40"/>
      <c r="J61" s="41">
        <v>0</v>
      </c>
      <c r="K61" s="42">
        <f>1+1+1+5+3</f>
        <v>11</v>
      </c>
      <c r="L61" s="40">
        <f>108.7+49.5+36.4+87.124+194.64</f>
        <v>476.36399999999998</v>
      </c>
      <c r="M61" s="52">
        <f t="shared" si="1"/>
        <v>36.643384615384612</v>
      </c>
      <c r="N61" s="10" t="s">
        <v>17</v>
      </c>
    </row>
    <row r="62" spans="1:14" ht="37.5" x14ac:dyDescent="0.25">
      <c r="A62" s="38">
        <v>57</v>
      </c>
      <c r="B62" s="39" t="s">
        <v>155</v>
      </c>
      <c r="C62" s="39" t="s">
        <v>154</v>
      </c>
      <c r="D62" s="71" t="s">
        <v>137</v>
      </c>
      <c r="E62" s="39" t="s">
        <v>154</v>
      </c>
      <c r="F62" s="11">
        <v>302725321</v>
      </c>
      <c r="G62" s="39" t="s">
        <v>126</v>
      </c>
      <c r="H62" s="42"/>
      <c r="I62" s="40"/>
      <c r="J62" s="41">
        <v>0</v>
      </c>
      <c r="K62" s="42">
        <v>2</v>
      </c>
      <c r="L62" s="40">
        <v>561.79999999999995</v>
      </c>
      <c r="M62" s="52">
        <f t="shared" si="1"/>
        <v>43.215384615384615</v>
      </c>
      <c r="N62" s="10" t="s">
        <v>17</v>
      </c>
    </row>
    <row r="63" spans="1:14" ht="37.5" x14ac:dyDescent="0.25">
      <c r="A63" s="37">
        <v>58</v>
      </c>
      <c r="B63" s="39" t="s">
        <v>157</v>
      </c>
      <c r="C63" s="39" t="s">
        <v>156</v>
      </c>
      <c r="D63" s="71" t="s">
        <v>119</v>
      </c>
      <c r="E63" s="39" t="s">
        <v>156</v>
      </c>
      <c r="F63" s="11">
        <v>312308827</v>
      </c>
      <c r="G63" s="39" t="s">
        <v>16</v>
      </c>
      <c r="H63" s="42"/>
      <c r="I63" s="40"/>
      <c r="J63" s="41">
        <v>0</v>
      </c>
      <c r="K63" s="42">
        <v>80</v>
      </c>
      <c r="L63" s="40">
        <v>8.9</v>
      </c>
      <c r="M63" s="52">
        <f t="shared" si="1"/>
        <v>0.68461538461538463</v>
      </c>
      <c r="N63" s="10" t="s">
        <v>17</v>
      </c>
    </row>
    <row r="64" spans="1:14" ht="37.5" x14ac:dyDescent="0.25">
      <c r="A64" s="38">
        <v>59</v>
      </c>
      <c r="B64" s="39" t="s">
        <v>159</v>
      </c>
      <c r="C64" s="39" t="s">
        <v>158</v>
      </c>
      <c r="D64" s="71" t="s">
        <v>87</v>
      </c>
      <c r="E64" s="39" t="s">
        <v>158</v>
      </c>
      <c r="F64" s="11">
        <v>303802644</v>
      </c>
      <c r="G64" s="39" t="s">
        <v>16</v>
      </c>
      <c r="H64" s="42"/>
      <c r="I64" s="40"/>
      <c r="J64" s="41">
        <v>0</v>
      </c>
      <c r="K64" s="42">
        <v>30000</v>
      </c>
      <c r="L64" s="40">
        <v>81.900000000000006</v>
      </c>
      <c r="M64" s="52">
        <f t="shared" si="1"/>
        <v>6.3000000000000007</v>
      </c>
      <c r="N64" s="10" t="s">
        <v>17</v>
      </c>
    </row>
    <row r="65" spans="1:14" ht="37.5" x14ac:dyDescent="0.25">
      <c r="A65" s="37">
        <v>60</v>
      </c>
      <c r="B65" s="39" t="s">
        <v>161</v>
      </c>
      <c r="C65" s="39" t="s">
        <v>160</v>
      </c>
      <c r="D65" s="71" t="s">
        <v>137</v>
      </c>
      <c r="E65" s="39" t="s">
        <v>160</v>
      </c>
      <c r="F65" s="11">
        <v>300078772</v>
      </c>
      <c r="G65" s="39" t="s">
        <v>16</v>
      </c>
      <c r="H65" s="42"/>
      <c r="I65" s="40"/>
      <c r="J65" s="41">
        <v>0</v>
      </c>
      <c r="K65" s="42">
        <v>100</v>
      </c>
      <c r="L65" s="50">
        <v>0.25</v>
      </c>
      <c r="M65" s="68">
        <f t="shared" si="1"/>
        <v>1.9230769230769232E-2</v>
      </c>
      <c r="N65" s="10" t="s">
        <v>17</v>
      </c>
    </row>
    <row r="66" spans="1:14" ht="37.5" x14ac:dyDescent="0.25">
      <c r="A66" s="38">
        <v>61</v>
      </c>
      <c r="B66" s="39" t="s">
        <v>164</v>
      </c>
      <c r="C66" s="39" t="s">
        <v>162</v>
      </c>
      <c r="D66" s="71" t="s">
        <v>163</v>
      </c>
      <c r="E66" s="39" t="s">
        <v>162</v>
      </c>
      <c r="F66" s="11">
        <v>311044477</v>
      </c>
      <c r="G66" s="39" t="s">
        <v>126</v>
      </c>
      <c r="H66" s="42"/>
      <c r="I66" s="40"/>
      <c r="J66" s="41">
        <v>0</v>
      </c>
      <c r="K66" s="42">
        <v>2</v>
      </c>
      <c r="L66" s="40">
        <v>390</v>
      </c>
      <c r="M66" s="52">
        <f t="shared" si="1"/>
        <v>30</v>
      </c>
      <c r="N66" s="10" t="s">
        <v>17</v>
      </c>
    </row>
    <row r="67" spans="1:14" ht="56.25" x14ac:dyDescent="0.25">
      <c r="A67" s="37">
        <v>62</v>
      </c>
      <c r="B67" s="39" t="s">
        <v>166</v>
      </c>
      <c r="C67" s="39" t="s">
        <v>165</v>
      </c>
      <c r="D67" s="71" t="s">
        <v>137</v>
      </c>
      <c r="E67" s="39" t="s">
        <v>165</v>
      </c>
      <c r="F67" s="11">
        <v>304961369</v>
      </c>
      <c r="G67" s="39" t="s">
        <v>189</v>
      </c>
      <c r="H67" s="42"/>
      <c r="I67" s="40"/>
      <c r="J67" s="41">
        <v>0</v>
      </c>
      <c r="K67" s="42">
        <f>157+663</f>
        <v>820</v>
      </c>
      <c r="L67" s="50">
        <f>0.559+1.518</f>
        <v>2.077</v>
      </c>
      <c r="M67" s="68">
        <f t="shared" si="1"/>
        <v>0.15976923076923077</v>
      </c>
      <c r="N67" s="10" t="s">
        <v>17</v>
      </c>
    </row>
    <row r="68" spans="1:14" ht="56.25" x14ac:dyDescent="0.25">
      <c r="A68" s="38">
        <v>63</v>
      </c>
      <c r="B68" s="39" t="s">
        <v>166</v>
      </c>
      <c r="C68" s="39" t="s">
        <v>167</v>
      </c>
      <c r="D68" s="71" t="s">
        <v>119</v>
      </c>
      <c r="E68" s="39" t="s">
        <v>167</v>
      </c>
      <c r="F68" s="11">
        <v>310872936</v>
      </c>
      <c r="G68" s="39" t="s">
        <v>189</v>
      </c>
      <c r="H68" s="42"/>
      <c r="I68" s="40"/>
      <c r="J68" s="41">
        <v>0</v>
      </c>
      <c r="K68" s="42">
        <f>50+484+157+41</f>
        <v>732</v>
      </c>
      <c r="L68" s="50">
        <f>0.187+2.47+1.332+0.446</f>
        <v>4.4349999999999996</v>
      </c>
      <c r="M68" s="68">
        <f t="shared" si="1"/>
        <v>0.34115384615384614</v>
      </c>
      <c r="N68" s="10" t="s">
        <v>17</v>
      </c>
    </row>
    <row r="69" spans="1:14" ht="37.5" x14ac:dyDescent="0.25">
      <c r="A69" s="37">
        <v>64</v>
      </c>
      <c r="B69" s="39" t="s">
        <v>170</v>
      </c>
      <c r="C69" s="39" t="s">
        <v>169</v>
      </c>
      <c r="D69" s="71" t="s">
        <v>122</v>
      </c>
      <c r="E69" s="39" t="s">
        <v>169</v>
      </c>
      <c r="F69" s="11">
        <v>301498985</v>
      </c>
      <c r="G69" s="39" t="s">
        <v>22</v>
      </c>
      <c r="H69" s="42"/>
      <c r="I69" s="40"/>
      <c r="J69" s="41">
        <v>0</v>
      </c>
      <c r="K69" s="42">
        <v>6000</v>
      </c>
      <c r="L69" s="40">
        <v>42</v>
      </c>
      <c r="M69" s="52">
        <f t="shared" si="1"/>
        <v>3.2307692307692308</v>
      </c>
      <c r="N69" s="10" t="s">
        <v>17</v>
      </c>
    </row>
    <row r="70" spans="1:14" ht="44.25" customHeight="1" x14ac:dyDescent="0.25">
      <c r="A70" s="38">
        <v>65</v>
      </c>
      <c r="B70" s="39" t="s">
        <v>174</v>
      </c>
      <c r="C70" s="39" t="s">
        <v>172</v>
      </c>
      <c r="D70" s="71" t="s">
        <v>119</v>
      </c>
      <c r="E70" s="39" t="s">
        <v>172</v>
      </c>
      <c r="F70" s="11">
        <v>312408504</v>
      </c>
      <c r="G70" s="39" t="s">
        <v>16</v>
      </c>
      <c r="H70" s="42"/>
      <c r="I70" s="40"/>
      <c r="J70" s="41">
        <v>0</v>
      </c>
      <c r="K70" s="42">
        <v>5</v>
      </c>
      <c r="L70" s="50">
        <v>0.16</v>
      </c>
      <c r="M70" s="68">
        <f t="shared" si="1"/>
        <v>1.2307692307692308E-2</v>
      </c>
      <c r="N70" s="10" t="s">
        <v>17</v>
      </c>
    </row>
    <row r="71" spans="1:14" ht="56.25" x14ac:dyDescent="0.25">
      <c r="A71" s="37">
        <v>66</v>
      </c>
      <c r="B71" s="39" t="s">
        <v>205</v>
      </c>
      <c r="C71" s="39" t="s">
        <v>173</v>
      </c>
      <c r="D71" s="71" t="s">
        <v>131</v>
      </c>
      <c r="E71" s="39" t="s">
        <v>173</v>
      </c>
      <c r="F71" s="11">
        <v>311233914</v>
      </c>
      <c r="G71" s="39" t="s">
        <v>16</v>
      </c>
      <c r="H71" s="42"/>
      <c r="I71" s="40"/>
      <c r="J71" s="41">
        <v>0</v>
      </c>
      <c r="K71" s="42">
        <f>75+1</f>
        <v>76</v>
      </c>
      <c r="L71" s="50">
        <f>23.19+0.42</f>
        <v>23.610000000000003</v>
      </c>
      <c r="M71" s="68">
        <f t="shared" ref="M71:M83" si="5">L71/13</f>
        <v>1.8161538461538465</v>
      </c>
      <c r="N71" s="10" t="s">
        <v>17</v>
      </c>
    </row>
    <row r="72" spans="1:14" ht="37.5" x14ac:dyDescent="0.25">
      <c r="A72" s="38">
        <v>67</v>
      </c>
      <c r="B72" s="39" t="s">
        <v>177</v>
      </c>
      <c r="C72" s="39" t="s">
        <v>175</v>
      </c>
      <c r="D72" s="71" t="s">
        <v>176</v>
      </c>
      <c r="E72" s="39" t="s">
        <v>175</v>
      </c>
      <c r="F72" s="11">
        <v>304991861</v>
      </c>
      <c r="G72" s="39" t="s">
        <v>16</v>
      </c>
      <c r="H72" s="42"/>
      <c r="I72" s="40"/>
      <c r="J72" s="41">
        <v>0</v>
      </c>
      <c r="K72" s="42">
        <f>285+40</f>
        <v>325</v>
      </c>
      <c r="L72" s="50">
        <f>39.13+11.4</f>
        <v>50.53</v>
      </c>
      <c r="M72" s="68">
        <f t="shared" si="5"/>
        <v>3.8869230769230771</v>
      </c>
      <c r="N72" s="10" t="s">
        <v>17</v>
      </c>
    </row>
    <row r="73" spans="1:14" ht="37.5" x14ac:dyDescent="0.25">
      <c r="A73" s="37">
        <v>68</v>
      </c>
      <c r="B73" s="39" t="s">
        <v>179</v>
      </c>
      <c r="C73" s="39" t="s">
        <v>206</v>
      </c>
      <c r="D73" s="71" t="s">
        <v>137</v>
      </c>
      <c r="E73" s="39" t="s">
        <v>178</v>
      </c>
      <c r="F73" s="71">
        <v>310654035</v>
      </c>
      <c r="G73" s="39" t="s">
        <v>16</v>
      </c>
      <c r="H73" s="42"/>
      <c r="I73" s="40"/>
      <c r="J73" s="41">
        <v>0</v>
      </c>
      <c r="K73" s="42">
        <f>10</f>
        <v>10</v>
      </c>
      <c r="L73" s="50">
        <f>45.5</f>
        <v>45.5</v>
      </c>
      <c r="M73" s="68">
        <f t="shared" ref="M73" si="6">L73/13</f>
        <v>3.5</v>
      </c>
      <c r="N73" s="10" t="s">
        <v>17</v>
      </c>
    </row>
    <row r="74" spans="1:14" ht="37.5" x14ac:dyDescent="0.25">
      <c r="A74" s="38">
        <v>69</v>
      </c>
      <c r="B74" s="39" t="s">
        <v>179</v>
      </c>
      <c r="C74" s="39" t="s">
        <v>190</v>
      </c>
      <c r="D74" s="71" t="s">
        <v>137</v>
      </c>
      <c r="E74" s="39" t="s">
        <v>190</v>
      </c>
      <c r="F74" s="71">
        <v>311770453</v>
      </c>
      <c r="G74" s="39" t="s">
        <v>16</v>
      </c>
      <c r="H74" s="42"/>
      <c r="I74" s="40"/>
      <c r="J74" s="41">
        <v>0</v>
      </c>
      <c r="K74" s="42">
        <f>26</f>
        <v>26</v>
      </c>
      <c r="L74" s="50">
        <f>108.1</f>
        <v>108.1</v>
      </c>
      <c r="M74" s="68">
        <f t="shared" si="5"/>
        <v>8.3153846153846143</v>
      </c>
      <c r="N74" s="10" t="s">
        <v>17</v>
      </c>
    </row>
    <row r="75" spans="1:14" ht="37.5" x14ac:dyDescent="0.25">
      <c r="A75" s="37">
        <v>70</v>
      </c>
      <c r="B75" s="39" t="s">
        <v>181</v>
      </c>
      <c r="C75" s="39" t="s">
        <v>180</v>
      </c>
      <c r="D75" s="71" t="s">
        <v>137</v>
      </c>
      <c r="E75" s="39" t="s">
        <v>180</v>
      </c>
      <c r="F75" s="11">
        <v>301837744</v>
      </c>
      <c r="G75" s="39" t="s">
        <v>16</v>
      </c>
      <c r="H75" s="42"/>
      <c r="I75" s="40"/>
      <c r="J75" s="41">
        <v>0</v>
      </c>
      <c r="K75" s="42">
        <v>50</v>
      </c>
      <c r="L75" s="50">
        <v>0.3</v>
      </c>
      <c r="M75" s="68">
        <f t="shared" si="5"/>
        <v>2.3076923076923075E-2</v>
      </c>
      <c r="N75" s="10" t="s">
        <v>17</v>
      </c>
    </row>
    <row r="76" spans="1:14" ht="37.5" x14ac:dyDescent="0.25">
      <c r="A76" s="38">
        <v>71</v>
      </c>
      <c r="B76" s="39" t="s">
        <v>184</v>
      </c>
      <c r="C76" s="39" t="s">
        <v>182</v>
      </c>
      <c r="D76" s="71" t="s">
        <v>183</v>
      </c>
      <c r="E76" s="39" t="s">
        <v>182</v>
      </c>
      <c r="F76" s="11">
        <v>311031572</v>
      </c>
      <c r="G76" s="39" t="s">
        <v>22</v>
      </c>
      <c r="H76" s="42"/>
      <c r="I76" s="40"/>
      <c r="J76" s="41">
        <v>0</v>
      </c>
      <c r="K76" s="42">
        <f>300+6.1</f>
        <v>306.10000000000002</v>
      </c>
      <c r="L76" s="50">
        <f>77.7+1.579</f>
        <v>79.278999999999996</v>
      </c>
      <c r="M76" s="68">
        <f t="shared" si="5"/>
        <v>6.0983846153846155</v>
      </c>
      <c r="N76" s="10" t="s">
        <v>17</v>
      </c>
    </row>
    <row r="77" spans="1:14" ht="37.5" x14ac:dyDescent="0.25">
      <c r="A77" s="37">
        <v>72</v>
      </c>
      <c r="B77" s="39" t="s">
        <v>186</v>
      </c>
      <c r="C77" s="39" t="s">
        <v>185</v>
      </c>
      <c r="D77" s="71" t="s">
        <v>137</v>
      </c>
      <c r="E77" s="39" t="s">
        <v>185</v>
      </c>
      <c r="F77" s="11">
        <v>310630517</v>
      </c>
      <c r="G77" s="39" t="s">
        <v>126</v>
      </c>
      <c r="H77" s="42"/>
      <c r="I77" s="40"/>
      <c r="J77" s="41">
        <v>0</v>
      </c>
      <c r="K77" s="42">
        <v>1</v>
      </c>
      <c r="L77" s="50">
        <v>5.89</v>
      </c>
      <c r="M77" s="68">
        <f t="shared" si="5"/>
        <v>0.45307692307692304</v>
      </c>
      <c r="N77" s="10" t="s">
        <v>17</v>
      </c>
    </row>
    <row r="78" spans="1:14" ht="56.25" x14ac:dyDescent="0.25">
      <c r="A78" s="38">
        <v>73</v>
      </c>
      <c r="B78" s="39" t="s">
        <v>188</v>
      </c>
      <c r="C78" s="39" t="s">
        <v>187</v>
      </c>
      <c r="D78" s="71" t="s">
        <v>137</v>
      </c>
      <c r="E78" s="39" t="s">
        <v>187</v>
      </c>
      <c r="F78" s="11">
        <v>303453676</v>
      </c>
      <c r="G78" s="39" t="s">
        <v>126</v>
      </c>
      <c r="H78" s="42"/>
      <c r="I78" s="40"/>
      <c r="J78" s="41">
        <v>0</v>
      </c>
      <c r="K78" s="42">
        <v>19</v>
      </c>
      <c r="L78" s="50">
        <v>59.77</v>
      </c>
      <c r="M78" s="68">
        <f t="shared" si="5"/>
        <v>4.5976923076923075</v>
      </c>
      <c r="N78" s="10" t="s">
        <v>17</v>
      </c>
    </row>
    <row r="79" spans="1:14" ht="37.5" x14ac:dyDescent="0.25">
      <c r="A79" s="37">
        <v>74</v>
      </c>
      <c r="B79" s="39" t="s">
        <v>193</v>
      </c>
      <c r="C79" s="39" t="s">
        <v>192</v>
      </c>
      <c r="D79" s="71" t="s">
        <v>87</v>
      </c>
      <c r="E79" s="39" t="s">
        <v>192</v>
      </c>
      <c r="F79" s="11">
        <v>305995333</v>
      </c>
      <c r="G79" s="39" t="s">
        <v>16</v>
      </c>
      <c r="H79" s="42"/>
      <c r="I79" s="40"/>
      <c r="J79" s="41">
        <v>0</v>
      </c>
      <c r="K79" s="42">
        <v>200</v>
      </c>
      <c r="L79" s="50">
        <v>0.72</v>
      </c>
      <c r="M79" s="68">
        <f t="shared" si="5"/>
        <v>5.5384615384615379E-2</v>
      </c>
      <c r="N79" s="10" t="s">
        <v>17</v>
      </c>
    </row>
    <row r="80" spans="1:14" ht="33.75" customHeight="1" x14ac:dyDescent="0.25">
      <c r="A80" s="38">
        <v>75</v>
      </c>
      <c r="B80" s="39" t="s">
        <v>195</v>
      </c>
      <c r="C80" s="39" t="s">
        <v>194</v>
      </c>
      <c r="D80" s="71" t="s">
        <v>107</v>
      </c>
      <c r="E80" s="39" t="s">
        <v>194</v>
      </c>
      <c r="F80" s="11">
        <v>309394026</v>
      </c>
      <c r="G80" s="39" t="s">
        <v>16</v>
      </c>
      <c r="H80" s="42"/>
      <c r="I80" s="40"/>
      <c r="J80" s="41">
        <v>0</v>
      </c>
      <c r="K80" s="42">
        <v>12</v>
      </c>
      <c r="L80" s="50">
        <v>0.12</v>
      </c>
      <c r="M80" s="68">
        <f t="shared" si="5"/>
        <v>9.2307692307692299E-3</v>
      </c>
      <c r="N80" s="10" t="s">
        <v>17</v>
      </c>
    </row>
    <row r="81" spans="1:14" ht="56.25" x14ac:dyDescent="0.25">
      <c r="A81" s="37">
        <v>76</v>
      </c>
      <c r="B81" s="39" t="s">
        <v>197</v>
      </c>
      <c r="C81" s="39" t="s">
        <v>196</v>
      </c>
      <c r="D81" s="71" t="s">
        <v>107</v>
      </c>
      <c r="E81" s="39" t="s">
        <v>196</v>
      </c>
      <c r="F81" s="11">
        <v>306810467</v>
      </c>
      <c r="G81" s="39" t="s">
        <v>22</v>
      </c>
      <c r="H81" s="42"/>
      <c r="I81" s="40"/>
      <c r="J81" s="41">
        <v>0</v>
      </c>
      <c r="K81" s="42">
        <v>1000</v>
      </c>
      <c r="L81" s="50">
        <v>62.2</v>
      </c>
      <c r="M81" s="68">
        <f t="shared" si="5"/>
        <v>4.7846153846153845</v>
      </c>
      <c r="N81" s="10" t="s">
        <v>17</v>
      </c>
    </row>
    <row r="82" spans="1:14" ht="33.75" customHeight="1" x14ac:dyDescent="0.25">
      <c r="A82" s="38">
        <v>77</v>
      </c>
      <c r="B82" s="39" t="s">
        <v>199</v>
      </c>
      <c r="C82" s="39" t="s">
        <v>198</v>
      </c>
      <c r="D82" s="71" t="s">
        <v>137</v>
      </c>
      <c r="E82" s="39" t="s">
        <v>198</v>
      </c>
      <c r="F82" s="11">
        <v>312756610</v>
      </c>
      <c r="G82" s="39" t="s">
        <v>200</v>
      </c>
      <c r="H82" s="42"/>
      <c r="I82" s="40"/>
      <c r="J82" s="41">
        <v>0</v>
      </c>
      <c r="K82" s="42">
        <v>50</v>
      </c>
      <c r="L82" s="50">
        <v>0.5</v>
      </c>
      <c r="M82" s="68">
        <f t="shared" si="5"/>
        <v>3.8461538461538464E-2</v>
      </c>
      <c r="N82" s="10" t="s">
        <v>17</v>
      </c>
    </row>
    <row r="83" spans="1:14" ht="37.5" x14ac:dyDescent="0.25">
      <c r="A83" s="37">
        <v>78</v>
      </c>
      <c r="B83" s="39" t="s">
        <v>202</v>
      </c>
      <c r="C83" s="39" t="s">
        <v>201</v>
      </c>
      <c r="D83" s="71" t="s">
        <v>137</v>
      </c>
      <c r="E83" s="39" t="s">
        <v>201</v>
      </c>
      <c r="F83" s="11">
        <v>201403164</v>
      </c>
      <c r="G83" s="39" t="s">
        <v>16</v>
      </c>
      <c r="H83" s="42"/>
      <c r="I83" s="40"/>
      <c r="J83" s="41">
        <v>0</v>
      </c>
      <c r="K83" s="42">
        <v>180</v>
      </c>
      <c r="L83" s="50">
        <v>3.2</v>
      </c>
      <c r="M83" s="68">
        <f t="shared" si="5"/>
        <v>0.24615384615384617</v>
      </c>
      <c r="N83" s="10" t="s">
        <v>17</v>
      </c>
    </row>
    <row r="84" spans="1:14" ht="37.5" x14ac:dyDescent="0.25">
      <c r="A84" s="37">
        <v>79</v>
      </c>
      <c r="B84" s="39" t="s">
        <v>209</v>
      </c>
      <c r="C84" s="39" t="s">
        <v>207</v>
      </c>
      <c r="D84" s="71" t="s">
        <v>208</v>
      </c>
      <c r="E84" s="39" t="s">
        <v>207</v>
      </c>
      <c r="F84" s="11">
        <v>301790814</v>
      </c>
      <c r="G84" s="39" t="s">
        <v>16</v>
      </c>
      <c r="H84" s="42"/>
      <c r="I84" s="40"/>
      <c r="J84" s="41">
        <v>0</v>
      </c>
      <c r="K84" s="42">
        <v>500</v>
      </c>
      <c r="L84" s="50">
        <v>10.9</v>
      </c>
      <c r="M84" s="68">
        <f t="shared" ref="M84" si="7">L84/13</f>
        <v>0.83846153846153848</v>
      </c>
      <c r="N84" s="10" t="s">
        <v>17</v>
      </c>
    </row>
    <row r="85" spans="1:14" ht="37.5" x14ac:dyDescent="0.25">
      <c r="A85" s="38">
        <v>80</v>
      </c>
      <c r="B85" s="39" t="s">
        <v>211</v>
      </c>
      <c r="C85" s="39" t="s">
        <v>210</v>
      </c>
      <c r="D85" s="71" t="s">
        <v>208</v>
      </c>
      <c r="E85" s="39" t="s">
        <v>210</v>
      </c>
      <c r="F85" s="11">
        <v>309370064</v>
      </c>
      <c r="G85" s="39" t="s">
        <v>16</v>
      </c>
      <c r="H85" s="42"/>
      <c r="I85" s="40"/>
      <c r="J85" s="41">
        <v>0</v>
      </c>
      <c r="K85" s="42">
        <v>4</v>
      </c>
      <c r="L85" s="50">
        <v>1587.08</v>
      </c>
      <c r="M85" s="68">
        <f t="shared" ref="M85:M90" si="8">L85/13</f>
        <v>122.08307692307692</v>
      </c>
      <c r="N85" s="10" t="s">
        <v>17</v>
      </c>
    </row>
    <row r="86" spans="1:14" ht="36" customHeight="1" x14ac:dyDescent="0.25">
      <c r="A86" s="37">
        <v>81</v>
      </c>
      <c r="B86" s="39" t="s">
        <v>213</v>
      </c>
      <c r="C86" s="39" t="s">
        <v>212</v>
      </c>
      <c r="D86" s="71" t="s">
        <v>137</v>
      </c>
      <c r="E86" s="39" t="s">
        <v>212</v>
      </c>
      <c r="F86" s="11">
        <v>302795434</v>
      </c>
      <c r="G86" s="39" t="s">
        <v>16</v>
      </c>
      <c r="H86" s="42"/>
      <c r="I86" s="40"/>
      <c r="J86" s="41">
        <v>0</v>
      </c>
      <c r="K86" s="42">
        <f>2000+3000</f>
        <v>5000</v>
      </c>
      <c r="L86" s="50">
        <f>260+390</f>
        <v>650</v>
      </c>
      <c r="M86" s="68">
        <f t="shared" si="8"/>
        <v>50</v>
      </c>
      <c r="N86" s="10" t="s">
        <v>17</v>
      </c>
    </row>
    <row r="87" spans="1:14" ht="37.5" x14ac:dyDescent="0.25">
      <c r="A87" s="37">
        <v>82</v>
      </c>
      <c r="B87" s="39" t="s">
        <v>215</v>
      </c>
      <c r="C87" s="39" t="s">
        <v>214</v>
      </c>
      <c r="D87" s="71" t="s">
        <v>119</v>
      </c>
      <c r="E87" s="39" t="s">
        <v>214</v>
      </c>
      <c r="F87" s="11">
        <v>304980962</v>
      </c>
      <c r="G87" s="39" t="s">
        <v>16</v>
      </c>
      <c r="H87" s="42"/>
      <c r="I87" s="40"/>
      <c r="J87" s="41">
        <v>0</v>
      </c>
      <c r="K87" s="42">
        <v>91</v>
      </c>
      <c r="L87" s="50">
        <v>19.46</v>
      </c>
      <c r="M87" s="68">
        <f t="shared" si="8"/>
        <v>1.496923076923077</v>
      </c>
      <c r="N87" s="10" t="s">
        <v>17</v>
      </c>
    </row>
    <row r="88" spans="1:14" ht="56.25" x14ac:dyDescent="0.25">
      <c r="A88" s="38">
        <v>83</v>
      </c>
      <c r="B88" s="39" t="s">
        <v>217</v>
      </c>
      <c r="C88" s="39" t="s">
        <v>216</v>
      </c>
      <c r="D88" s="71" t="s">
        <v>104</v>
      </c>
      <c r="E88" s="39" t="s">
        <v>216</v>
      </c>
      <c r="F88" s="11">
        <v>313044017</v>
      </c>
      <c r="G88" s="39" t="s">
        <v>22</v>
      </c>
      <c r="H88" s="42"/>
      <c r="I88" s="40"/>
      <c r="J88" s="41">
        <v>0</v>
      </c>
      <c r="K88" s="42">
        <v>25</v>
      </c>
      <c r="L88" s="50">
        <v>1</v>
      </c>
      <c r="M88" s="68">
        <f t="shared" si="8"/>
        <v>7.6923076923076927E-2</v>
      </c>
      <c r="N88" s="10" t="s">
        <v>17</v>
      </c>
    </row>
    <row r="89" spans="1:14" ht="37.5" x14ac:dyDescent="0.25">
      <c r="A89" s="37">
        <v>84</v>
      </c>
      <c r="B89" s="39" t="s">
        <v>166</v>
      </c>
      <c r="C89" s="39" t="s">
        <v>218</v>
      </c>
      <c r="D89" s="71" t="s">
        <v>77</v>
      </c>
      <c r="E89" s="39" t="s">
        <v>218</v>
      </c>
      <c r="F89" s="11">
        <v>311289060</v>
      </c>
      <c r="G89" s="39" t="s">
        <v>235</v>
      </c>
      <c r="H89" s="42"/>
      <c r="I89" s="40"/>
      <c r="J89" s="41">
        <v>0</v>
      </c>
      <c r="K89" s="42">
        <f>169+1130</f>
        <v>1299</v>
      </c>
      <c r="L89" s="50">
        <f>1.64+3.283574</f>
        <v>4.9235740000000003</v>
      </c>
      <c r="M89" s="68">
        <f t="shared" si="8"/>
        <v>0.37873646153846158</v>
      </c>
      <c r="N89" s="10" t="s">
        <v>17</v>
      </c>
    </row>
    <row r="90" spans="1:14" ht="37.5" customHeight="1" x14ac:dyDescent="0.25">
      <c r="A90" s="37">
        <v>85</v>
      </c>
      <c r="B90" s="39" t="s">
        <v>220</v>
      </c>
      <c r="C90" s="39" t="s">
        <v>219</v>
      </c>
      <c r="D90" s="71" t="s">
        <v>221</v>
      </c>
      <c r="E90" s="39" t="s">
        <v>219</v>
      </c>
      <c r="F90" s="11">
        <v>311717975</v>
      </c>
      <c r="G90" s="39" t="s">
        <v>16</v>
      </c>
      <c r="H90" s="42"/>
      <c r="I90" s="40"/>
      <c r="J90" s="41">
        <v>0</v>
      </c>
      <c r="K90" s="42">
        <v>500</v>
      </c>
      <c r="L90" s="50">
        <v>3.64</v>
      </c>
      <c r="M90" s="68">
        <f t="shared" si="8"/>
        <v>0.28000000000000003</v>
      </c>
      <c r="N90" s="10" t="s">
        <v>17</v>
      </c>
    </row>
    <row r="91" spans="1:14" ht="37.5" customHeight="1" x14ac:dyDescent="0.25">
      <c r="A91" s="37">
        <v>86</v>
      </c>
      <c r="B91" s="39" t="s">
        <v>166</v>
      </c>
      <c r="C91" s="39" t="s">
        <v>222</v>
      </c>
      <c r="D91" s="71" t="s">
        <v>77</v>
      </c>
      <c r="E91" s="39" t="s">
        <v>222</v>
      </c>
      <c r="F91" s="11">
        <v>312347803</v>
      </c>
      <c r="G91" s="39" t="s">
        <v>243</v>
      </c>
      <c r="H91" s="42"/>
      <c r="I91" s="40"/>
      <c r="J91" s="41">
        <v>0</v>
      </c>
      <c r="K91" s="42">
        <v>184</v>
      </c>
      <c r="L91" s="50">
        <v>0.72499999999999998</v>
      </c>
      <c r="M91" s="68">
        <f t="shared" ref="M91:M97" si="9">L91/13</f>
        <v>5.5769230769230765E-2</v>
      </c>
      <c r="N91" s="10" t="s">
        <v>17</v>
      </c>
    </row>
    <row r="92" spans="1:14" ht="37.5" customHeight="1" x14ac:dyDescent="0.25">
      <c r="A92" s="37">
        <v>87</v>
      </c>
      <c r="B92" s="39" t="s">
        <v>211</v>
      </c>
      <c r="C92" s="39" t="s">
        <v>223</v>
      </c>
      <c r="D92" s="71" t="s">
        <v>137</v>
      </c>
      <c r="E92" s="39" t="s">
        <v>223</v>
      </c>
      <c r="F92" s="11">
        <v>203973278</v>
      </c>
      <c r="G92" s="39" t="s">
        <v>16</v>
      </c>
      <c r="H92" s="42"/>
      <c r="I92" s="40"/>
      <c r="J92" s="41">
        <v>0</v>
      </c>
      <c r="K92" s="42">
        <v>4</v>
      </c>
      <c r="L92" s="50">
        <v>1623.6189999999999</v>
      </c>
      <c r="M92" s="68">
        <f t="shared" si="9"/>
        <v>124.89376923076922</v>
      </c>
      <c r="N92" s="10" t="s">
        <v>17</v>
      </c>
    </row>
    <row r="93" spans="1:14" ht="37.5" customHeight="1" x14ac:dyDescent="0.25">
      <c r="A93" s="37">
        <v>88</v>
      </c>
      <c r="B93" s="39" t="s">
        <v>226</v>
      </c>
      <c r="C93" s="39" t="s">
        <v>224</v>
      </c>
      <c r="D93" s="71" t="s">
        <v>225</v>
      </c>
      <c r="E93" s="39" t="s">
        <v>224</v>
      </c>
      <c r="F93" s="11">
        <v>300933659</v>
      </c>
      <c r="G93" s="39" t="s">
        <v>227</v>
      </c>
      <c r="H93" s="42"/>
      <c r="I93" s="40"/>
      <c r="J93" s="41">
        <v>0</v>
      </c>
      <c r="K93" s="42">
        <f>2000+2000</f>
        <v>4000</v>
      </c>
      <c r="L93" s="50">
        <v>6470.5604400000002</v>
      </c>
      <c r="M93" s="68">
        <f t="shared" si="9"/>
        <v>497.73541846153847</v>
      </c>
      <c r="N93" s="10" t="s">
        <v>17</v>
      </c>
    </row>
    <row r="94" spans="1:14" ht="37.5" customHeight="1" x14ac:dyDescent="0.25">
      <c r="A94" s="37">
        <v>89</v>
      </c>
      <c r="B94" s="39" t="s">
        <v>229</v>
      </c>
      <c r="C94" s="39" t="s">
        <v>228</v>
      </c>
      <c r="D94" s="71" t="s">
        <v>137</v>
      </c>
      <c r="E94" s="39" t="s">
        <v>228</v>
      </c>
      <c r="F94" s="11">
        <v>309943956</v>
      </c>
      <c r="G94" s="39" t="s">
        <v>16</v>
      </c>
      <c r="H94" s="42"/>
      <c r="I94" s="40"/>
      <c r="J94" s="41">
        <v>0</v>
      </c>
      <c r="K94" s="42">
        <v>1740</v>
      </c>
      <c r="L94" s="50">
        <v>0.95699999999999996</v>
      </c>
      <c r="M94" s="68">
        <f t="shared" si="9"/>
        <v>7.361538461538461E-2</v>
      </c>
      <c r="N94" s="10" t="s">
        <v>17</v>
      </c>
    </row>
    <row r="95" spans="1:14" ht="37.5" customHeight="1" x14ac:dyDescent="0.25">
      <c r="A95" s="37">
        <v>90</v>
      </c>
      <c r="B95" s="39" t="s">
        <v>231</v>
      </c>
      <c r="C95" s="39" t="s">
        <v>230</v>
      </c>
      <c r="D95" s="71" t="s">
        <v>208</v>
      </c>
      <c r="E95" s="39" t="s">
        <v>230</v>
      </c>
      <c r="F95" s="11">
        <v>204712394</v>
      </c>
      <c r="G95" s="39" t="s">
        <v>16</v>
      </c>
      <c r="H95" s="42"/>
      <c r="I95" s="40"/>
      <c r="J95" s="41">
        <v>0</v>
      </c>
      <c r="K95" s="42">
        <v>460</v>
      </c>
      <c r="L95" s="50">
        <v>0.88300000000000001</v>
      </c>
      <c r="M95" s="68">
        <f t="shared" si="9"/>
        <v>6.7923076923076919E-2</v>
      </c>
      <c r="N95" s="10" t="s">
        <v>17</v>
      </c>
    </row>
    <row r="96" spans="1:14" ht="37.5" customHeight="1" x14ac:dyDescent="0.25">
      <c r="A96" s="37">
        <v>91</v>
      </c>
      <c r="B96" s="39" t="s">
        <v>233</v>
      </c>
      <c r="C96" s="39" t="s">
        <v>232</v>
      </c>
      <c r="D96" s="71" t="s">
        <v>119</v>
      </c>
      <c r="E96" s="39" t="s">
        <v>232</v>
      </c>
      <c r="F96" s="11">
        <v>304686060</v>
      </c>
      <c r="G96" s="39" t="s">
        <v>22</v>
      </c>
      <c r="H96" s="42"/>
      <c r="I96" s="40"/>
      <c r="J96" s="41">
        <v>0</v>
      </c>
      <c r="K96" s="42">
        <v>3000</v>
      </c>
      <c r="L96" s="50">
        <v>15</v>
      </c>
      <c r="M96" s="68">
        <f t="shared" si="9"/>
        <v>1.1538461538461537</v>
      </c>
      <c r="N96" s="10" t="s">
        <v>17</v>
      </c>
    </row>
    <row r="97" spans="1:14" ht="37.5" customHeight="1" x14ac:dyDescent="0.25">
      <c r="A97" s="37">
        <v>92</v>
      </c>
      <c r="B97" s="39" t="s">
        <v>166</v>
      </c>
      <c r="C97" s="39" t="s">
        <v>234</v>
      </c>
      <c r="D97" s="71" t="s">
        <v>176</v>
      </c>
      <c r="E97" s="39" t="s">
        <v>234</v>
      </c>
      <c r="F97" s="11">
        <v>303115519</v>
      </c>
      <c r="G97" s="39" t="s">
        <v>243</v>
      </c>
      <c r="H97" s="42"/>
      <c r="I97" s="40"/>
      <c r="J97" s="41">
        <v>0</v>
      </c>
      <c r="K97" s="42">
        <v>21</v>
      </c>
      <c r="L97" s="50">
        <v>0.52710000000000001</v>
      </c>
      <c r="M97" s="68">
        <f t="shared" si="9"/>
        <v>4.054615384615385E-2</v>
      </c>
      <c r="N97" s="10" t="s">
        <v>17</v>
      </c>
    </row>
    <row r="98" spans="1:14" ht="37.5" customHeight="1" x14ac:dyDescent="0.25">
      <c r="A98" s="37">
        <v>93</v>
      </c>
      <c r="B98" s="39" t="s">
        <v>239</v>
      </c>
      <c r="C98" s="39" t="s">
        <v>240</v>
      </c>
      <c r="D98" s="71" t="s">
        <v>137</v>
      </c>
      <c r="E98" s="39" t="s">
        <v>240</v>
      </c>
      <c r="F98" s="11">
        <v>303130793</v>
      </c>
      <c r="G98" s="39" t="s">
        <v>16</v>
      </c>
      <c r="H98" s="42"/>
      <c r="I98" s="40"/>
      <c r="J98" s="41">
        <v>0</v>
      </c>
      <c r="K98" s="42">
        <v>510</v>
      </c>
      <c r="L98" s="50">
        <v>0.255</v>
      </c>
      <c r="M98" s="68">
        <f t="shared" ref="M98:M100" si="10">L98/13</f>
        <v>1.9615384615384614E-2</v>
      </c>
      <c r="N98" s="10" t="s">
        <v>17</v>
      </c>
    </row>
    <row r="99" spans="1:14" ht="37.5" customHeight="1" x14ac:dyDescent="0.25">
      <c r="A99" s="37">
        <v>94</v>
      </c>
      <c r="B99" s="39" t="s">
        <v>241</v>
      </c>
      <c r="C99" s="39" t="s">
        <v>242</v>
      </c>
      <c r="D99" s="71" t="s">
        <v>137</v>
      </c>
      <c r="E99" s="39" t="s">
        <v>242</v>
      </c>
      <c r="F99" s="11">
        <v>201913337</v>
      </c>
      <c r="G99" s="39" t="s">
        <v>243</v>
      </c>
      <c r="H99" s="42"/>
      <c r="I99" s="40"/>
      <c r="J99" s="41">
        <v>0</v>
      </c>
      <c r="K99" s="42">
        <v>28</v>
      </c>
      <c r="L99" s="50">
        <v>2.88</v>
      </c>
      <c r="M99" s="68">
        <f t="shared" si="10"/>
        <v>0.22153846153846152</v>
      </c>
      <c r="N99" s="10" t="s">
        <v>17</v>
      </c>
    </row>
    <row r="100" spans="1:14" ht="37.5" customHeight="1" x14ac:dyDescent="0.25">
      <c r="A100" s="37">
        <v>95</v>
      </c>
      <c r="B100" s="39" t="s">
        <v>244</v>
      </c>
      <c r="C100" s="39" t="s">
        <v>245</v>
      </c>
      <c r="D100" s="71" t="s">
        <v>122</v>
      </c>
      <c r="E100" s="39" t="s">
        <v>245</v>
      </c>
      <c r="F100" s="11">
        <v>312317523</v>
      </c>
      <c r="G100" s="39" t="s">
        <v>16</v>
      </c>
      <c r="H100" s="42"/>
      <c r="I100" s="40"/>
      <c r="J100" s="41">
        <v>0</v>
      </c>
      <c r="K100" s="42">
        <v>4620</v>
      </c>
      <c r="L100" s="50">
        <v>2.2839999999999998</v>
      </c>
      <c r="M100" s="68">
        <f t="shared" si="10"/>
        <v>0.17569230769230768</v>
      </c>
      <c r="N100" s="10" t="s">
        <v>17</v>
      </c>
    </row>
    <row r="101" spans="1:14" ht="37.5" customHeight="1" x14ac:dyDescent="0.25">
      <c r="A101" s="37">
        <v>96</v>
      </c>
      <c r="B101" s="39" t="s">
        <v>246</v>
      </c>
      <c r="C101" s="39" t="s">
        <v>247</v>
      </c>
      <c r="D101" s="71" t="s">
        <v>137</v>
      </c>
      <c r="E101" s="39" t="s">
        <v>247</v>
      </c>
      <c r="F101" s="11">
        <v>303351494</v>
      </c>
      <c r="G101" s="39" t="s">
        <v>248</v>
      </c>
      <c r="H101" s="42"/>
      <c r="I101" s="40"/>
      <c r="J101" s="41">
        <v>0</v>
      </c>
      <c r="K101" s="42">
        <v>10000</v>
      </c>
      <c r="L101" s="50">
        <v>180</v>
      </c>
      <c r="M101" s="68">
        <f t="shared" ref="M101" si="11">L101/13</f>
        <v>13.846153846153847</v>
      </c>
      <c r="N101" s="10" t="s">
        <v>17</v>
      </c>
    </row>
    <row r="102" spans="1:14" ht="37.5" customHeight="1" x14ac:dyDescent="0.25">
      <c r="A102" s="43"/>
      <c r="B102" s="44"/>
      <c r="C102" s="44"/>
      <c r="D102" s="76"/>
      <c r="E102" s="44"/>
      <c r="F102" s="43"/>
      <c r="G102" s="44"/>
      <c r="H102" s="45"/>
      <c r="I102" s="46"/>
      <c r="J102" s="47"/>
      <c r="K102" s="45"/>
      <c r="L102" s="69"/>
      <c r="M102" s="70"/>
      <c r="N102" s="48"/>
    </row>
    <row r="103" spans="1:14" ht="33" customHeight="1" x14ac:dyDescent="0.25">
      <c r="A103" s="89" t="s">
        <v>64</v>
      </c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</row>
    <row r="120" spans="2:2" x14ac:dyDescent="0.25">
      <c r="B120" t="s">
        <v>249</v>
      </c>
    </row>
  </sheetData>
  <autoFilter ref="A5:N103" xr:uid="{00000000-0009-0000-0000-000000000000}"/>
  <mergeCells count="17">
    <mergeCell ref="A103:N103"/>
    <mergeCell ref="H4:H5"/>
    <mergeCell ref="I4:I5"/>
    <mergeCell ref="J4:J5"/>
    <mergeCell ref="K4:K5"/>
    <mergeCell ref="L4:L5"/>
    <mergeCell ref="M4:M5"/>
    <mergeCell ref="A1:N1"/>
    <mergeCell ref="A3:A5"/>
    <mergeCell ref="B3:B5"/>
    <mergeCell ref="C3:F3"/>
    <mergeCell ref="G3:G5"/>
    <mergeCell ref="H3:J3"/>
    <mergeCell ref="K3:M3"/>
    <mergeCell ref="N3:N5"/>
    <mergeCell ref="C4:D4"/>
    <mergeCell ref="E4:F4"/>
  </mergeCells>
  <printOptions horizontalCentered="1"/>
  <pageMargins left="0.23622047244094491" right="0.19685039370078741" top="0.53" bottom="0.43" header="0.19685039370078741" footer="0.19685039370078741"/>
  <pageSetup paperSize="9" scale="5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uzcoal_uvivz@mail.ru</cp:lastModifiedBy>
  <cp:lastPrinted>2026-10-07T15:59:05Z</cp:lastPrinted>
  <dcterms:created xsi:type="dcterms:W3CDTF">2025-03-04T12:59:45Z</dcterms:created>
  <dcterms:modified xsi:type="dcterms:W3CDTF">2026-10-07T15:59:44Z</dcterms:modified>
</cp:coreProperties>
</file>